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630" windowWidth="15480" windowHeight="29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'Sheet1'!$A$1:$P$409</definedName>
  </definedNames>
  <calcPr fullCalcOnLoad="1"/>
</workbook>
</file>

<file path=xl/sharedStrings.xml><?xml version="1.0" encoding="utf-8"?>
<sst xmlns="http://schemas.openxmlformats.org/spreadsheetml/2006/main" count="442" uniqueCount="273">
  <si>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</si>
  <si>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</si>
  <si>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</si>
  <si>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</si>
  <si>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</si>
  <si>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</si>
  <si>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</si>
  <si>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</si>
  <si>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</si>
  <si>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</si>
  <si>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</si>
  <si>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</si>
  <si>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</si>
  <si>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</si>
  <si>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</si>
  <si>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Adjusted EBITDA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</si>
  <si>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</si>
  <si>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</si>
  <si>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</si>
  <si>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</si>
  <si>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</si>
  <si>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</si>
  <si>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</si>
  <si>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</si>
  <si>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</si>
  <si>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</si>
  <si>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</si>
  <si>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>Completed during 2005</t>
  </si>
  <si>
    <t xml:space="preserve">     Completed surveys</t>
  </si>
  <si>
    <t>Completed during 2006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</si>
  <si>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</si>
  <si>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</si>
  <si>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</si>
  <si>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</si>
  <si>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</si>
  <si>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</si>
  <si>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Capitalized interest, multi-client library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</si>
  <si>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</si>
  <si>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</si>
  <si>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</si>
  <si>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</si>
  <si>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</si>
  <si>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</si>
  <si>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</si>
  <si>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Minority</t>
  </si>
  <si>
    <t>Employee share options</t>
  </si>
  <si>
    <t>Common</t>
  </si>
  <si>
    <t>stock</t>
  </si>
  <si>
    <t>par value</t>
  </si>
  <si>
    <t>Capitalized depreciation (non-cash)</t>
  </si>
  <si>
    <t>Capitalized depreciation (non-cash) (d)</t>
  </si>
  <si>
    <t>(d)</t>
  </si>
  <si>
    <t>See Depreciation and amortization above.</t>
  </si>
  <si>
    <t>Capital expenditures (cash) were as follows for the periods presented:</t>
  </si>
  <si>
    <t xml:space="preserve">Long-term debt </t>
  </si>
  <si>
    <t>Adjust for deferred loan costs (offset in long-term debt)</t>
  </si>
  <si>
    <t>Marine revenues by service type:</t>
  </si>
  <si>
    <t>Other:</t>
  </si>
  <si>
    <t xml:space="preserve">Resarch and development costs, net of capitalized portion were as follows for the periods presented: 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</si>
  <si>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</si>
  <si>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</si>
  <si>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</si>
  <si>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</si>
  <si>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</si>
  <si>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</si>
  <si>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</si>
  <si>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</si>
  <si>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</si>
  <si>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</si>
  <si>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</si>
  <si>
    <t>Note 2 - Basis of presentation</t>
  </si>
  <si>
    <t>Note 4 - Segment information</t>
  </si>
  <si>
    <t>Revenues by operating segment and service type for the periods presented:</t>
  </si>
  <si>
    <t xml:space="preserve">December 31, 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</si>
  <si>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</si>
  <si>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</si>
  <si>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</si>
  <si>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</si>
  <si>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Other revenues by service type:</t>
  </si>
  <si>
    <t xml:space="preserve">     Other revenues</t>
  </si>
  <si>
    <t>Elimination of inter-segment revenues:</t>
  </si>
  <si>
    <t xml:space="preserve">     Elimination of inter-segment revenues</t>
  </si>
  <si>
    <t>Total revenues by service type:</t>
  </si>
  <si>
    <t>Operating profit (loss)/EBIT by operating segment for the periods presented:</t>
  </si>
  <si>
    <t>Impairments of long-lived assets</t>
  </si>
  <si>
    <t>Depreciation and amortization (a)</t>
  </si>
  <si>
    <t>Amortization of MultiClient library (a)</t>
  </si>
  <si>
    <t xml:space="preserve">     Operating profit/EBIT, Marine</t>
  </si>
  <si>
    <t xml:space="preserve">    Operating profit (loss)/EBIT, Other</t>
  </si>
  <si>
    <t>Inter-segment eliminations:</t>
  </si>
  <si>
    <t>Total Operating profit:</t>
  </si>
  <si>
    <t>Presented separately in the Consolidated Statements of Operations.</t>
  </si>
  <si>
    <t>Gain on repurchase of convertible notes</t>
  </si>
  <si>
    <t>The net book-value of the MultiClient library by year of completion is as follows:</t>
  </si>
  <si>
    <t>Completed during 2004 and prior years</t>
  </si>
  <si>
    <t>Completed during 2009</t>
  </si>
  <si>
    <t xml:space="preserve">     MultiClient library, net</t>
  </si>
  <si>
    <t>Key figures MultiClient library by segment for the periods presented:</t>
  </si>
  <si>
    <t>MultiClient pre-funding  (a)</t>
  </si>
  <si>
    <t>MultiClient late sales  (a)</t>
  </si>
  <si>
    <t>Cash investment in MultiClient library</t>
  </si>
  <si>
    <t xml:space="preserve">Capitalized interest in MultiClient library </t>
  </si>
  <si>
    <t>Amortization of MultiClient library</t>
  </si>
  <si>
    <t xml:space="preserve">Cash investment in MultiClient library </t>
  </si>
  <si>
    <t xml:space="preserve">Other/Elimination: </t>
  </si>
  <si>
    <t xml:space="preserve">Capitalized depreciation </t>
  </si>
  <si>
    <t>Total MultiClient library, key figures:</t>
  </si>
  <si>
    <t>Cash investment in MultiClient library  (b)</t>
  </si>
  <si>
    <t>Capitalized interest in MultiClient library  (c)</t>
  </si>
  <si>
    <t>Amortization of MultiClient library (d)</t>
  </si>
  <si>
    <t>See Consolidated statements of cash flows.</t>
  </si>
  <si>
    <t>See Interest expense above.</t>
  </si>
  <si>
    <t>Total comprehensive income</t>
  </si>
  <si>
    <t xml:space="preserve">Transferred shares, deferred consideration </t>
  </si>
  <si>
    <t>Repurchase convertible notes</t>
  </si>
  <si>
    <t>Balance at December 31, 2008</t>
  </si>
  <si>
    <t>Reconciliation Q1 2009:</t>
  </si>
  <si>
    <t>Balance at March 31, 2009</t>
  </si>
  <si>
    <t>Balance at June 30, 2009</t>
  </si>
  <si>
    <t>Reconciliation Q2 2009: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</si>
  <si>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</si>
  <si>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</si>
  <si>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</si>
  <si>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</si>
  <si>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</si>
  <si>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</si>
  <si>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Other intangible assets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</si>
  <si>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</si>
  <si>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</si>
  <si>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</si>
  <si>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</si>
  <si>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</si>
  <si>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Impairment of shares available-for-sale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</si>
  <si>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</si>
  <si>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</si>
  <si>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</si>
  <si>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</si>
  <si>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</si>
  <si>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</si>
  <si>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</si>
  <si>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</si>
  <si>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</si>
  <si>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</si>
  <si>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>Transaction costs amounting to $3.4 milion are recognized against "Additional paid-in capital" net of related income tax benefits of $0.9 million.</t>
  </si>
  <si>
    <t>Transaction costs amounting to $0.7 million are recognized against "Accumulated earnings (deficit)".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</si>
  <si>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</si>
  <si>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</si>
  <si>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</si>
  <si>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</si>
  <si>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Note 12 - Capital expenditures (cash)</t>
  </si>
  <si>
    <t>Earnings per share, to ordinary equity holders of PGS ASA, were calculated as follows:</t>
  </si>
  <si>
    <t>Net income from continuing operations</t>
  </si>
  <si>
    <t>Net income from discontinued operations</t>
  </si>
  <si>
    <t>Minority interest</t>
  </si>
  <si>
    <t>Net income to equity holders of PGS ASA</t>
  </si>
  <si>
    <t>Effect of interest on convertible notes, net of tax</t>
  </si>
  <si>
    <t>Net income for the purpose of diluted earnings per share</t>
  </si>
  <si>
    <t>- Basic</t>
  </si>
  <si>
    <t>Earnings per share from continuing operations,</t>
  </si>
  <si>
    <t xml:space="preserve"> Weighted average basic shares outstanding</t>
  </si>
  <si>
    <t xml:space="preserve"> Weighted average diluted shares outstanding</t>
  </si>
  <si>
    <t>Earnings per share:</t>
  </si>
  <si>
    <t>Reconciliation Q3 2009:</t>
  </si>
  <si>
    <t>Balance at September 30, 2009</t>
  </si>
  <si>
    <t xml:space="preserve"> Dilutive potential shares (1)</t>
  </si>
  <si>
    <t>- Diluted</t>
  </si>
  <si>
    <t xml:space="preserve">- Diluted </t>
  </si>
  <si>
    <t>Note 16 - Earnings per share</t>
  </si>
  <si>
    <t>Reconciliation Q4 2009:</t>
  </si>
  <si>
    <t>Balance at December 31, 2009</t>
  </si>
  <si>
    <t>Total revenues (continuing operation)</t>
  </si>
  <si>
    <t>Income from discontinued operations, net of tax consist of the following for the periods presented:</t>
  </si>
  <si>
    <t>Income from discontinued operations, pretax</t>
  </si>
  <si>
    <t>Income tax (expense) benefit</t>
  </si>
  <si>
    <t>Revenues</t>
  </si>
  <si>
    <t>Depreciation and amortization</t>
  </si>
  <si>
    <t>Operating profit</t>
  </si>
  <si>
    <t>Total operating expenses</t>
  </si>
  <si>
    <t>Operating costs (a)</t>
  </si>
  <si>
    <t>(a) Operating costs include cost of sales, research and development costs, and selling, general and adminstrative costs.</t>
  </si>
  <si>
    <t>Key figures Multiclient library continuing operation:</t>
  </si>
  <si>
    <t>Financial items, net</t>
  </si>
  <si>
    <t>The consolidated interim financial statements reflects all adjustments, in the opinion of PGSs management, that are necessary for a fair presentation of the results of operations for all</t>
  </si>
  <si>
    <t>periods presented. Operating results for the quarter period is not necessary indicative of the results that may be expected for any subsequent interim period or year. The interim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</si>
  <si>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</si>
  <si>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</si>
  <si>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</si>
  <si>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</si>
  <si>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</si>
  <si>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</si>
  <si>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</si>
  <si>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</si>
  <si>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</si>
  <si>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</si>
  <si>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Revenues by continued operations:</t>
  </si>
  <si>
    <t>The results of operations for the Onshore segment are summarized as follows:</t>
  </si>
  <si>
    <t>individual MultiClient surveys. The Company classifies these impairment charges as amortization expense in its consolidated statement of operations since this additional, non-sales</t>
  </si>
  <si>
    <t>See segment information, Note 4.</t>
  </si>
  <si>
    <t xml:space="preserve">related amortization expense, is expected to occur regularly. </t>
  </si>
  <si>
    <t>Operating profit (loss)/ EBIT from continuing operations:</t>
  </si>
  <si>
    <t xml:space="preserve">    Total Operating profit (loss)/EBIT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</si>
  <si>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</si>
  <si>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</si>
  <si>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>individually for each MultiClient survey or pool of surveys at quarterly basis. At year-end, or when specific impairment indicators exists, the Company carry out an impairment test of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</si>
  <si>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</si>
  <si>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</si>
  <si>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</si>
  <si>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</si>
  <si>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</si>
  <si>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>Assets held-for-sale</t>
  </si>
  <si>
    <t>Note 18 - Consolidated statements of operations by quarter 2009, Onshore presented as discontinued operation.</t>
  </si>
  <si>
    <t xml:space="preserve">Revenues </t>
  </si>
  <si>
    <t xml:space="preserve">     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</si>
  <si>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</si>
  <si>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</si>
  <si>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</si>
  <si>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</si>
  <si>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</si>
  <si>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Operating profit (loss)/EBIT</t>
  </si>
  <si>
    <t>Income/(loss) from associated companies</t>
  </si>
  <si>
    <t>Interest expense</t>
  </si>
  <si>
    <t>Other financial income</t>
  </si>
  <si>
    <t>Other financial expense</t>
  </si>
  <si>
    <t>Currency exchange gain (loss)</t>
  </si>
  <si>
    <t>Income before income tax expense (benefit)</t>
  </si>
  <si>
    <t>Income tax expense (benfit)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</si>
  <si>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</si>
  <si>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</si>
  <si>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</si>
  <si>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</si>
  <si>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</si>
  <si>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</si>
  <si>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</si>
  <si>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</si>
  <si>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Consolidated statements of operations by quarter 2009, Onshore presented as discontinued operation:</t>
  </si>
  <si>
    <t>(2)  Adjusted EBITDA, when used by the Company, means income before income tax expense (benefit) less, currency exchange gain (loss), other financial expense, other financial</t>
  </si>
  <si>
    <t>comparable to other similar titled measures from other companies. PGS has included Adjusted EBITDA as a supplemental disclosure because management believes that it provides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</si>
  <si>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</si>
  <si>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</si>
  <si>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income, interest expense,  income (loss) from associated companies, other operating  income, impairments of long-lived assets and depreciation and amortization. EBITDA may not be</t>
  </si>
  <si>
    <t>Gain on investment in shares available for sale</t>
  </si>
  <si>
    <t>results for Onshore are included in discontinued operations in the consolidated statements of operations and was classified as asset held-for-sale in the consolidated statement of</t>
  </si>
  <si>
    <t xml:space="preserve">financial positions as of December 31, 2009 (see Note 17 and 18). The Notes are restated for all periods presented. </t>
  </si>
  <si>
    <t xml:space="preserve">consolidated financial statements should be read in conjunction with the audited consolidated  financial statements for the year ended December 31, 2009. </t>
  </si>
  <si>
    <t xml:space="preserve">Company's significant accounting policies. </t>
  </si>
  <si>
    <t xml:space="preserve">Note 3 - New policies and standards adopted in 2010  </t>
  </si>
  <si>
    <t xml:space="preserve">March 31, </t>
  </si>
  <si>
    <t>presented as held for sale.</t>
  </si>
  <si>
    <t>Balance at March 31, 2010</t>
  </si>
  <si>
    <t>March 31,</t>
  </si>
  <si>
    <t>Reconciliation Q1 2010:</t>
  </si>
  <si>
    <t>(a) Includes $60.5 million in MultiClient library and allocated goodwill of $35.0 million as of December 31, 2009.</t>
  </si>
  <si>
    <t>Gain on sale of Onshore</t>
  </si>
  <si>
    <t>Notes to the Interim Consolidated Financial Statements - First Quarter 2010</t>
  </si>
  <si>
    <t>In December 2010 the Company entered into an agreement to sell PGS Onshore business ("Onshore") to the US-based Geokinetics. The transaction was closed February 12, 2010. The</t>
  </si>
  <si>
    <t>consolidated financial statements for the year ended December 31, 2009. See Note 2 to the Consolidated Financial Statements in the 2009 Annual Report for information of the</t>
  </si>
  <si>
    <t>The Company has, up until the sale of Onshore (see above), operated its business in two segments; Marine and Onshore. "Other" includes Corporate administration costs,</t>
  </si>
  <si>
    <t>unallocated Global Shared Services costs (net) and PGS EM. Financial items and income tax expense are not included in the measure of segment performance. Onshore is presented</t>
  </si>
  <si>
    <t>as discontinued operation and is not included in the tables below.</t>
  </si>
  <si>
    <t>(1)  Certain reclassifications have been made to prior period amounts to conform to the current presentation, including restatement of Onshore to discontinued operations (see above).</t>
  </si>
  <si>
    <t xml:space="preserve">Financial information for the full year 2009 is derived from the audited financial statements as presented in the 2009 Annual Report. </t>
  </si>
  <si>
    <t>Completed during 2010</t>
  </si>
  <si>
    <t>As of March 31, 2009 MultiClient library includes Onshore surveys for $62.0 million. As of December 31, 2009 such surveys are</t>
  </si>
  <si>
    <t xml:space="preserve">Additional proceeds </t>
  </si>
  <si>
    <t>(1) For the quarter ended March 31, 2010 and 2009, in addition to year ended December 31, 2009, 8.8 million</t>
  </si>
  <si>
    <t>shares related to convertible notes were excluded from the calculation of dilutive earnings per share as they were</t>
  </si>
  <si>
    <t>anti-dilutive.</t>
  </si>
  <si>
    <t>Less: Reclassification adjustments for losses included in the Consolidated Statement of Operations</t>
  </si>
  <si>
    <t>Less: Reclassification adjustments for (gains) included in the Consolidated Statement of Operations</t>
  </si>
  <si>
    <t>Instruction fee convertible note (includes costs)</t>
  </si>
  <si>
    <t>Share issue (17,999,999 shares) (a)</t>
  </si>
  <si>
    <t>Sale of treasury shares (b)</t>
  </si>
  <si>
    <t>None of the new accounting standards that came into effect on January 1, 2010 had a significant impact in the first quarter of 2010.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</si>
</sst>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.00_-;\-* #,##0.00_-;_-* &quot;-&quot;??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(* #,##0_);_*\ \(#,##0\);_(* &quot;-&quot;??_);_(@_)"/>
    <numFmt numFmtId="174" formatCode="_([$$-409]* #,##0_);_([$$-409]* \(#,##0\);_([$$-409]* &quot;-&quot;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171" fontId="2" fillId="0" borderId="0" xfId="0" applyNumberFormat="1" applyFont="1" applyAlignment="1">
      <alignment/>
    </xf>
    <xf numFmtId="0" fontId="8" fillId="0" borderId="0" xfId="0" applyFont="1" applyFill="1" applyBorder="1" applyAlignment="1" quotePrefix="1">
      <alignment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171" fontId="2" fillId="0" borderId="0" xfId="0" applyNumberFormat="1" applyFont="1" applyFill="1" applyAlignment="1">
      <alignment/>
    </xf>
    <xf numFmtId="171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170" fontId="2" fillId="0" borderId="0" xfId="0" applyNumberFormat="1" applyFont="1" applyAlignment="1">
      <alignment/>
    </xf>
    <xf numFmtId="41" fontId="2" fillId="0" borderId="11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NumberFormat="1" applyFont="1" applyFill="1" applyBorder="1" applyAlignment="1" quotePrefix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4" fontId="2" fillId="0" borderId="0" xfId="0" applyNumberFormat="1" applyFont="1" applyFill="1" applyBorder="1" applyAlignment="1" quotePrefix="1">
      <alignment horizontal="center"/>
    </xf>
    <xf numFmtId="173" fontId="2" fillId="0" borderId="0" xfId="0" applyNumberFormat="1" applyFont="1" applyAlignment="1">
      <alignment/>
    </xf>
    <xf numFmtId="41" fontId="11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1" fontId="9" fillId="33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Font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16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41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 quotePrefix="1">
      <alignment horizontal="center"/>
    </xf>
    <xf numFmtId="171" fontId="2" fillId="0" borderId="1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8" fontId="11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2" fontId="2" fillId="33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42" fontId="2" fillId="33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8" fontId="15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1" fontId="20" fillId="0" borderId="0" xfId="0" applyNumberFormat="1" applyFont="1" applyFill="1" applyAlignment="1">
      <alignment/>
    </xf>
    <xf numFmtId="44" fontId="2" fillId="0" borderId="0" xfId="44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 horizontal="left"/>
    </xf>
    <xf numFmtId="170" fontId="9" fillId="0" borderId="0" xfId="42" applyNumberFormat="1" applyFont="1" applyBorder="1" applyAlignment="1">
      <alignment horizontal="left"/>
    </xf>
    <xf numFmtId="170" fontId="9" fillId="0" borderId="0" xfId="42" applyNumberFormat="1" applyFont="1" applyFill="1" applyBorder="1" applyAlignment="1">
      <alignment horizontal="center"/>
    </xf>
    <xf numFmtId="172" fontId="9" fillId="0" borderId="0" xfId="44" applyNumberFormat="1" applyFont="1" applyFill="1" applyBorder="1" applyAlignment="1">
      <alignment/>
    </xf>
    <xf numFmtId="172" fontId="9" fillId="0" borderId="0" xfId="44" applyNumberFormat="1" applyFont="1" applyBorder="1" applyAlignment="1">
      <alignment/>
    </xf>
    <xf numFmtId="0" fontId="9" fillId="0" borderId="0" xfId="0" applyFont="1" applyAlignment="1">
      <alignment/>
    </xf>
    <xf numFmtId="170" fontId="2" fillId="0" borderId="0" xfId="42" applyNumberFormat="1" applyFont="1" applyFill="1" applyBorder="1" applyAlignment="1" quotePrefix="1">
      <alignment horizontal="left"/>
    </xf>
    <xf numFmtId="170" fontId="2" fillId="0" borderId="0" xfId="42" applyNumberFormat="1" applyFont="1" applyFill="1" applyBorder="1" applyAlignment="1">
      <alignment horizontal="left"/>
    </xf>
    <xf numFmtId="44" fontId="2" fillId="33" borderId="0" xfId="44" applyNumberFormat="1" applyFont="1" applyFill="1" applyBorder="1" applyAlignment="1">
      <alignment/>
    </xf>
    <xf numFmtId="167" fontId="2" fillId="0" borderId="0" xfId="42" applyNumberFormat="1" applyFont="1" applyBorder="1" applyAlignment="1">
      <alignment/>
    </xf>
    <xf numFmtId="169" fontId="2" fillId="0" borderId="0" xfId="42" applyNumberFormat="1" applyFont="1" applyBorder="1" applyAlignment="1">
      <alignment/>
    </xf>
    <xf numFmtId="169" fontId="2" fillId="0" borderId="0" xfId="42" applyNumberFormat="1" applyFont="1" applyFill="1" applyBorder="1" applyAlignment="1">
      <alignment/>
    </xf>
    <xf numFmtId="43" fontId="2" fillId="33" borderId="0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0" xfId="42" applyNumberFormat="1" applyFont="1" applyFill="1" applyBorder="1" applyAlignment="1">
      <alignment/>
    </xf>
    <xf numFmtId="170" fontId="2" fillId="0" borderId="0" xfId="42" applyNumberFormat="1" applyFont="1" applyBorder="1" applyAlignment="1" quotePrefix="1">
      <alignment horizontal="left"/>
    </xf>
    <xf numFmtId="170" fontId="2" fillId="0" borderId="12" xfId="42" applyNumberFormat="1" applyFont="1" applyFill="1" applyBorder="1" applyAlignment="1" quotePrefix="1">
      <alignment horizontal="left"/>
    </xf>
    <xf numFmtId="44" fontId="2" fillId="33" borderId="12" xfId="44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174" fontId="15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Alignment="1">
      <alignment/>
    </xf>
    <xf numFmtId="44" fontId="2" fillId="0" borderId="12" xfId="44" applyNumberFormat="1" applyFont="1" applyFill="1" applyBorder="1" applyAlignment="1">
      <alignment/>
    </xf>
    <xf numFmtId="41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22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2" fontId="20" fillId="0" borderId="0" xfId="44" applyNumberFormat="1" applyFont="1" applyFill="1" applyBorder="1" applyAlignment="1">
      <alignment/>
    </xf>
    <xf numFmtId="0" fontId="15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/>
    </xf>
    <xf numFmtId="168" fontId="2" fillId="33" borderId="1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1" fontId="2" fillId="33" borderId="12" xfId="0" applyNumberFormat="1" applyFont="1" applyFill="1" applyBorder="1" applyAlignment="1">
      <alignment/>
    </xf>
    <xf numFmtId="42" fontId="9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indent="1"/>
    </xf>
    <xf numFmtId="0" fontId="22" fillId="0" borderId="0" xfId="0" applyFont="1" applyAlignment="1">
      <alignment horizontal="left" readingOrder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horizontal="left" readingOrder="1"/>
    </xf>
    <xf numFmtId="173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2" fillId="0" borderId="0" xfId="0" applyFont="1" applyAlignment="1">
      <alignment horizontal="left" readingOrder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2" fillId="0" borderId="12" xfId="42" applyNumberFormat="1" applyFont="1" applyBorder="1" applyAlignment="1">
      <alignment horizontal="left"/>
    </xf>
    <xf numFmtId="170" fontId="2" fillId="0" borderId="0" xfId="42" applyNumberFormat="1" applyFont="1" applyBorder="1" applyAlignment="1">
      <alignment horizontal="left"/>
    </xf>
    <xf numFmtId="172" fontId="2" fillId="33" borderId="12" xfId="44" applyNumberFormat="1" applyFont="1" applyFill="1" applyBorder="1" applyAlignment="1">
      <alignment/>
    </xf>
    <xf numFmtId="172" fontId="2" fillId="0" borderId="0" xfId="44" applyNumberFormat="1" applyFont="1" applyBorder="1" applyAlignment="1">
      <alignment/>
    </xf>
    <xf numFmtId="172" fontId="2" fillId="0" borderId="12" xfId="44" applyNumberFormat="1" applyFont="1" applyFill="1" applyBorder="1" applyAlignment="1">
      <alignment/>
    </xf>
    <xf numFmtId="172" fontId="2" fillId="0" borderId="0" xfId="44" applyNumberFormat="1" applyFont="1" applyFill="1" applyBorder="1" applyAlignment="1">
      <alignment/>
    </xf>
    <xf numFmtId="170" fontId="2" fillId="0" borderId="0" xfId="42" applyNumberFormat="1" applyFont="1" applyAlignment="1">
      <alignment horizontal="left"/>
    </xf>
    <xf numFmtId="170" fontId="2" fillId="33" borderId="0" xfId="42" applyNumberFormat="1" applyFont="1" applyFill="1" applyAlignment="1">
      <alignment/>
    </xf>
    <xf numFmtId="170" fontId="2" fillId="0" borderId="0" xfId="42" applyNumberFormat="1" applyFont="1" applyBorder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Fill="1" applyAlignment="1">
      <alignment/>
    </xf>
    <xf numFmtId="171" fontId="2" fillId="33" borderId="0" xfId="42" applyNumberFormat="1" applyFont="1" applyFill="1" applyAlignment="1">
      <alignment/>
    </xf>
    <xf numFmtId="171" fontId="2" fillId="0" borderId="0" xfId="42" applyNumberFormat="1" applyFont="1" applyBorder="1" applyAlignment="1">
      <alignment/>
    </xf>
    <xf numFmtId="171" fontId="2" fillId="0" borderId="0" xfId="42" applyNumberFormat="1" applyFont="1" applyAlignment="1">
      <alignment/>
    </xf>
    <xf numFmtId="171" fontId="2" fillId="0" borderId="0" xfId="42" applyNumberFormat="1" applyFont="1" applyFill="1" applyAlignment="1">
      <alignment/>
    </xf>
    <xf numFmtId="171" fontId="0" fillId="0" borderId="0" xfId="0" applyNumberFormat="1" applyAlignment="1">
      <alignment/>
    </xf>
    <xf numFmtId="171" fontId="2" fillId="33" borderId="0" xfId="42" applyNumberFormat="1" applyFont="1" applyFill="1" applyBorder="1" applyAlignment="1">
      <alignment/>
    </xf>
    <xf numFmtId="171" fontId="2" fillId="0" borderId="0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0" fontId="2" fillId="0" borderId="10" xfId="42" applyNumberFormat="1" applyFont="1" applyBorder="1" applyAlignment="1">
      <alignment horizontal="left"/>
    </xf>
    <xf numFmtId="171" fontId="2" fillId="33" borderId="10" xfId="42" applyNumberFormat="1" applyFont="1" applyFill="1" applyBorder="1" applyAlignment="1">
      <alignment/>
    </xf>
    <xf numFmtId="171" fontId="2" fillId="0" borderId="10" xfId="42" applyNumberFormat="1" applyFont="1" applyFill="1" applyBorder="1" applyAlignment="1">
      <alignment/>
    </xf>
    <xf numFmtId="171" fontId="2" fillId="33" borderId="12" xfId="42" applyNumberFormat="1" applyFont="1" applyFill="1" applyBorder="1" applyAlignment="1">
      <alignment/>
    </xf>
    <xf numFmtId="170" fontId="9" fillId="0" borderId="11" xfId="42" applyNumberFormat="1" applyFont="1" applyBorder="1" applyAlignment="1">
      <alignment horizontal="left"/>
    </xf>
    <xf numFmtId="172" fontId="9" fillId="33" borderId="11" xfId="44" applyNumberFormat="1" applyFont="1" applyFill="1" applyBorder="1" applyAlignment="1">
      <alignment/>
    </xf>
    <xf numFmtId="172" fontId="9" fillId="0" borderId="11" xfId="44" applyNumberFormat="1" applyFont="1" applyBorder="1" applyAlignment="1">
      <alignment/>
    </xf>
    <xf numFmtId="172" fontId="9" fillId="0" borderId="11" xfId="44" applyNumberFormat="1" applyFont="1" applyFill="1" applyBorder="1" applyAlignment="1">
      <alignment/>
    </xf>
    <xf numFmtId="172" fontId="9" fillId="33" borderId="0" xfId="44" applyNumberFormat="1" applyFont="1" applyFill="1" applyBorder="1" applyAlignment="1">
      <alignment/>
    </xf>
    <xf numFmtId="170" fontId="2" fillId="33" borderId="12" xfId="42" applyNumberFormat="1" applyFont="1" applyFill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8" fillId="0" borderId="0" xfId="0" applyFont="1" applyAlignment="1">
      <alignment/>
    </xf>
    <xf numFmtId="168" fontId="58" fillId="0" borderId="0" xfId="0" applyNumberFormat="1" applyFont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quotePrefix="1">
      <alignment horizontal="center"/>
    </xf>
    <xf numFmtId="174" fontId="1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12" xfId="0" applyFont="1" applyFill="1" applyBorder="1" applyAlignment="1">
      <alignment/>
    </xf>
    <xf numFmtId="42" fontId="9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12" xfId="0" applyNumberFormat="1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1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1" fontId="5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readingOrder="1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41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.onshore.pgs.com/bu/corp/finance/corpaccounting/reporting/quarterlyresult/Quarterly%20Report%20Q4/Q4_2009_IS_and_BS%20Onshore%20dis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/bu/corp/finance/corpaccounting/reporting/quarterlyresult/Quarterly%20Report%20Q4/Q4_2009_IS_and_BS%20Onshore%20dis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.onshore.pgs.com/bu/corp/finance/corpaccounting/reporting/quarterlyresult/QuaretrlyReportQ12010/Q1_2010_IS_and_B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.onshore.pgs.com/bu/corp/finance/corpaccounting/reporting/quarterlyresult/QuaretrlyReportQ12010/Q1_2010_IS_and_BS%20Onshore%20dis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0">
        <row r="31">
          <cell r="F31">
            <v>22871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1">
        <row r="16">
          <cell r="G16">
            <v>3725</v>
          </cell>
        </row>
        <row r="18">
          <cell r="G18">
            <v>2097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0">
        <row r="26">
          <cell r="F26">
            <v>10021</v>
          </cell>
        </row>
        <row r="27">
          <cell r="F27">
            <v>6234</v>
          </cell>
        </row>
        <row r="30">
          <cell r="F30">
            <v>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0">
        <row r="26">
          <cell r="H26">
            <v>61605</v>
          </cell>
          <cell r="J26">
            <v>176167</v>
          </cell>
        </row>
        <row r="27">
          <cell r="H27">
            <v>-7441</v>
          </cell>
          <cell r="J27">
            <v>-8248</v>
          </cell>
        </row>
        <row r="30">
          <cell r="H30">
            <v>0</v>
          </cell>
          <cell r="J30">
            <v>2094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0"/>
  <sheetViews>
    <sheetView showGridLines="0" tabSelected="1" zoomScaleSheetLayoutView="100" workbookViewId="0" topLeftCell="A1">
      <selection activeCell="P301" sqref="P301"/>
    </sheetView>
  </sheetViews>
  <sheetFormatPr defaultColWidth="9.140625" defaultRowHeight="12.75"/>
  <cols>
    <col min="1" max="1" width="3.00390625" style="2" customWidth="1"/>
    <col min="2" max="2" width="42.140625" style="2" customWidth="1"/>
    <col min="3" max="3" width="1.7109375" style="2" customWidth="1"/>
    <col min="4" max="4" width="12.421875" style="2" customWidth="1"/>
    <col min="5" max="5" width="1.7109375" style="2" customWidth="1"/>
    <col min="6" max="6" width="12.00390625" style="2" customWidth="1"/>
    <col min="7" max="7" width="1.28515625" style="2" customWidth="1"/>
    <col min="8" max="8" width="12.00390625" style="2" customWidth="1"/>
    <col min="9" max="9" width="1.1484375" style="2" customWidth="1"/>
    <col min="10" max="10" width="12.00390625" style="2" customWidth="1"/>
    <col min="11" max="11" width="1.57421875" style="2" customWidth="1"/>
    <col min="12" max="12" width="12.00390625" style="2" customWidth="1"/>
    <col min="13" max="13" width="1.421875" style="2" customWidth="1"/>
    <col min="14" max="14" width="11.28125" style="2" customWidth="1"/>
    <col min="15" max="15" width="1.7109375" style="2" customWidth="1"/>
    <col min="16" max="16" width="11.7109375" style="2" customWidth="1"/>
    <col min="17" max="17" width="1.7109375" style="2" customWidth="1"/>
    <col min="18" max="16384" width="9.140625" style="2" customWidth="1"/>
  </cols>
  <sheetData>
    <row r="1" spans="1:17" ht="18.75" customHeight="1">
      <c r="A1" s="318" t="s">
        <v>145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10"/>
      <c r="O1" s="110"/>
      <c r="P1" s="110"/>
      <c r="Q1" s="110"/>
    </row>
    <row r="2" spans="1:17" ht="20.25">
      <c r="A2" s="318" t="s">
        <v>253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10"/>
      <c r="O2" s="110"/>
      <c r="P2" s="110"/>
      <c r="Q2" s="110"/>
    </row>
    <row r="3" ht="12.75"/>
    <row r="4" spans="1:22" ht="13.5" customHeight="1">
      <c r="A4" s="8" t="s">
        <v>66</v>
      </c>
      <c r="B4" s="9"/>
      <c r="C4" s="9"/>
      <c r="D4" s="9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ht="12.75" customHeight="1">
      <c r="A5" s="237" t="s">
        <v>254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0"/>
    </row>
    <row r="6" spans="1:23" ht="12.75" customHeight="1">
      <c r="A6" s="237" t="s">
        <v>241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0"/>
    </row>
    <row r="7" spans="1:23" ht="12.75" customHeight="1">
      <c r="A7" s="237" t="s">
        <v>242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0"/>
    </row>
    <row r="8" spans="1:23" ht="12.75" customHeight="1">
      <c r="A8" s="2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0"/>
    </row>
    <row r="9" spans="1:22" ht="13.5" customHeight="1">
      <c r="A9" s="10" t="s">
        <v>67</v>
      </c>
      <c r="B9" s="10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3.5" customHeight="1">
      <c r="A10" s="10" t="s">
        <v>68</v>
      </c>
      <c r="B10" s="10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3.5" customHeight="1">
      <c r="A11" s="10" t="s">
        <v>69</v>
      </c>
      <c r="B11" s="10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2.75" customHeight="1">
      <c r="A12" s="242" t="s">
        <v>259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0"/>
    </row>
    <row r="13" spans="1:23" ht="12.75" customHeight="1">
      <c r="A13" s="242" t="s">
        <v>260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0"/>
    </row>
    <row r="14" spans="1:23" ht="12.75" customHeight="1">
      <c r="A14" s="242" t="s">
        <v>235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0"/>
    </row>
    <row r="15" spans="1:23" ht="12.75" customHeight="1">
      <c r="A15" s="242" t="s">
        <v>239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0"/>
    </row>
    <row r="16" spans="1:23" ht="12.75" customHeight="1">
      <c r="A16" s="232" t="s">
        <v>236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0"/>
    </row>
    <row r="17" spans="1:23" s="127" customFormat="1" ht="12.75" customHeight="1">
      <c r="A17" s="232" t="s">
        <v>237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12.75" customHeight="1">
      <c r="A18" s="232" t="s">
        <v>238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10"/>
    </row>
    <row r="19" spans="1:23" ht="12.75" customHeight="1">
      <c r="A19" s="8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0"/>
    </row>
    <row r="20" spans="1:23" ht="12.75" customHeight="1">
      <c r="A20" s="8" t="s">
        <v>70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0"/>
    </row>
    <row r="21" spans="1:23" ht="12.75" customHeight="1">
      <c r="A21" s="232" t="s">
        <v>182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0"/>
    </row>
    <row r="22" spans="1:23" ht="12.75" customHeight="1">
      <c r="A22" s="232" t="s">
        <v>183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10"/>
    </row>
    <row r="23" spans="1:23" ht="12.75" customHeight="1">
      <c r="A23" s="242" t="s">
        <v>243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10"/>
    </row>
    <row r="24" spans="1:23" ht="12.75" customHeight="1">
      <c r="A24" s="23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10"/>
    </row>
    <row r="25" spans="1:23" ht="12.75" customHeight="1">
      <c r="A25" s="232" t="s">
        <v>184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0"/>
    </row>
    <row r="26" spans="1:23" ht="12.75" customHeight="1">
      <c r="A26" s="242" t="s">
        <v>255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10"/>
    </row>
    <row r="27" spans="1:23" ht="12.75" customHeight="1">
      <c r="A27" s="242" t="s">
        <v>244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0"/>
    </row>
    <row r="28" spans="1:23" ht="12.75" customHeight="1">
      <c r="A28" s="23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10"/>
    </row>
    <row r="29" spans="1:23" ht="15.75" customHeight="1">
      <c r="A29" s="234" t="s">
        <v>245</v>
      </c>
      <c r="B29" s="35"/>
      <c r="C29" s="232"/>
      <c r="E29" s="308"/>
      <c r="F29" s="27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10"/>
    </row>
    <row r="30" spans="1:23" ht="12.75" customHeight="1">
      <c r="A30" s="2" t="s">
        <v>272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10"/>
    </row>
    <row r="31" spans="2:23" ht="12.75" customHeight="1" hidden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10"/>
    </row>
    <row r="32" spans="2:23" ht="12.75" customHeight="1" hidden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10"/>
    </row>
    <row r="33" spans="2:23" ht="12.7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10"/>
    </row>
    <row r="34" spans="1:23" ht="12.75" customHeight="1">
      <c r="A34" s="37" t="s">
        <v>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10"/>
    </row>
    <row r="35" spans="1:23" ht="12.75" customHeight="1">
      <c r="A35" s="5" t="s">
        <v>256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10"/>
    </row>
    <row r="36" spans="1:23" ht="12.75" customHeight="1">
      <c r="A36" s="5" t="s">
        <v>257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10"/>
    </row>
    <row r="37" spans="1:23" ht="12.75" customHeight="1">
      <c r="A37" s="5" t="s">
        <v>258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10"/>
    </row>
    <row r="38" spans="1:23" ht="12.75" customHeight="1">
      <c r="A38" s="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10"/>
    </row>
    <row r="39" spans="1:21" s="122" customFormat="1" ht="13.5" thickBot="1">
      <c r="A39" s="38" t="s">
        <v>72</v>
      </c>
      <c r="B39" s="38"/>
      <c r="C39" s="38"/>
      <c r="D39" s="128"/>
      <c r="E39" s="38"/>
      <c r="F39" s="38"/>
      <c r="G39" s="38"/>
      <c r="H39" s="38"/>
      <c r="I39" s="32"/>
      <c r="J39" s="32"/>
      <c r="K39" s="32"/>
      <c r="L39" s="32"/>
      <c r="O39" s="32"/>
      <c r="P39" s="32"/>
      <c r="U39" s="25"/>
    </row>
    <row r="40" spans="1:17" s="153" customFormat="1" ht="12.75">
      <c r="A40" s="89"/>
      <c r="B40" s="89"/>
      <c r="C40" s="89"/>
      <c r="D40" s="315" t="s">
        <v>8</v>
      </c>
      <c r="E40" s="315"/>
      <c r="F40" s="315"/>
      <c r="G40" s="125"/>
      <c r="H40" s="282" t="s">
        <v>37</v>
      </c>
      <c r="K40" s="151"/>
      <c r="L40" s="151"/>
      <c r="Q40" s="92"/>
    </row>
    <row r="41" spans="1:17" s="153" customFormat="1" ht="12.75">
      <c r="A41" s="152"/>
      <c r="B41" s="152"/>
      <c r="C41" s="152"/>
      <c r="D41" s="309" t="s">
        <v>246</v>
      </c>
      <c r="E41" s="309"/>
      <c r="F41" s="309"/>
      <c r="G41" s="67"/>
      <c r="H41" s="282" t="s">
        <v>6</v>
      </c>
      <c r="K41" s="152"/>
      <c r="L41" s="152"/>
      <c r="Q41" s="92"/>
    </row>
    <row r="42" spans="1:17" s="153" customFormat="1" ht="12.75">
      <c r="A42" s="136" t="s">
        <v>7</v>
      </c>
      <c r="B42" s="154"/>
      <c r="C42" s="92"/>
      <c r="D42" s="56">
        <v>2010</v>
      </c>
      <c r="E42" s="129"/>
      <c r="F42" s="26">
        <v>2009</v>
      </c>
      <c r="G42" s="68"/>
      <c r="H42" s="283">
        <v>2009</v>
      </c>
      <c r="J42" s="155"/>
      <c r="K42" s="155"/>
      <c r="L42" s="92"/>
      <c r="M42" s="92"/>
      <c r="N42" s="92"/>
      <c r="O42" s="92"/>
      <c r="Q42" s="92"/>
    </row>
    <row r="43" spans="1:21" s="153" customFormat="1" ht="12.75">
      <c r="A43" s="226" t="s">
        <v>194</v>
      </c>
      <c r="B43" s="89"/>
      <c r="C43" s="92"/>
      <c r="D43" s="313" t="s">
        <v>5</v>
      </c>
      <c r="E43" s="313"/>
      <c r="F43" s="313"/>
      <c r="G43" s="313"/>
      <c r="H43" s="313"/>
      <c r="I43" s="219"/>
      <c r="J43" s="219"/>
      <c r="K43" s="219"/>
      <c r="L43" s="219"/>
      <c r="M43" s="219"/>
      <c r="N43" s="156"/>
      <c r="O43" s="156"/>
      <c r="P43" s="155"/>
      <c r="Q43" s="155"/>
      <c r="R43" s="92"/>
      <c r="S43" s="92"/>
      <c r="T43" s="92"/>
      <c r="U43" s="92"/>
    </row>
    <row r="44" spans="1:19" s="153" customFormat="1" ht="12.75">
      <c r="A44" s="92" t="s">
        <v>7</v>
      </c>
      <c r="B44" s="25" t="s">
        <v>56</v>
      </c>
      <c r="C44" s="92"/>
      <c r="D44" s="130"/>
      <c r="E44" s="157"/>
      <c r="F44" s="157"/>
      <c r="G44" s="157"/>
      <c r="H44" s="130"/>
      <c r="I44" s="158"/>
      <c r="L44" s="155"/>
      <c r="M44" s="159"/>
      <c r="N44" s="92"/>
      <c r="O44" s="92"/>
      <c r="P44" s="92"/>
      <c r="Q44" s="92"/>
      <c r="S44" s="92"/>
    </row>
    <row r="45" spans="1:19" s="153" customFormat="1" ht="12.75">
      <c r="A45" s="92"/>
      <c r="B45" s="32" t="s">
        <v>1</v>
      </c>
      <c r="C45" s="92"/>
      <c r="D45" s="70">
        <v>155384</v>
      </c>
      <c r="E45" s="160"/>
      <c r="F45" s="73">
        <v>319327</v>
      </c>
      <c r="G45" s="132"/>
      <c r="H45" s="73">
        <v>893050</v>
      </c>
      <c r="I45" s="158"/>
      <c r="L45" s="155"/>
      <c r="M45" s="159"/>
      <c r="N45" s="92"/>
      <c r="O45" s="92"/>
      <c r="P45" s="92"/>
      <c r="Q45" s="92"/>
      <c r="S45" s="92"/>
    </row>
    <row r="46" spans="1:19" s="153" customFormat="1" ht="12.75">
      <c r="A46" s="92"/>
      <c r="B46" s="25" t="s">
        <v>74</v>
      </c>
      <c r="C46" s="92"/>
      <c r="D46" s="71">
        <v>34321</v>
      </c>
      <c r="E46" s="132"/>
      <c r="F46" s="86">
        <v>23441</v>
      </c>
      <c r="G46" s="132"/>
      <c r="H46" s="86">
        <v>169043</v>
      </c>
      <c r="I46" s="161"/>
      <c r="L46" s="155"/>
      <c r="M46" s="159"/>
      <c r="N46" s="92"/>
      <c r="O46" s="92"/>
      <c r="P46" s="92"/>
      <c r="Q46" s="92"/>
      <c r="S46" s="92"/>
    </row>
    <row r="47" spans="1:19" s="153" customFormat="1" ht="12.75">
      <c r="A47" s="89"/>
      <c r="B47" s="32" t="s">
        <v>75</v>
      </c>
      <c r="C47" s="89"/>
      <c r="D47" s="71">
        <v>42200</v>
      </c>
      <c r="E47" s="132"/>
      <c r="F47" s="86">
        <v>22717</v>
      </c>
      <c r="G47" s="132"/>
      <c r="H47" s="86">
        <v>181635</v>
      </c>
      <c r="I47" s="132"/>
      <c r="L47" s="155"/>
      <c r="M47" s="159"/>
      <c r="N47" s="92"/>
      <c r="O47" s="92"/>
      <c r="P47" s="92"/>
      <c r="Q47" s="92"/>
      <c r="S47" s="92"/>
    </row>
    <row r="48" spans="1:19" s="153" customFormat="1" ht="12.75">
      <c r="A48" s="89"/>
      <c r="B48" s="32" t="s">
        <v>76</v>
      </c>
      <c r="C48" s="89"/>
      <c r="D48" s="71">
        <f>22987+220</f>
        <v>23207</v>
      </c>
      <c r="E48" s="132"/>
      <c r="F48" s="86">
        <f>20327+249</f>
        <v>20576</v>
      </c>
      <c r="G48" s="132"/>
      <c r="H48" s="86">
        <f>88661+1497</f>
        <v>90158</v>
      </c>
      <c r="I48" s="132"/>
      <c r="L48" s="155"/>
      <c r="M48" s="159"/>
      <c r="N48" s="92"/>
      <c r="O48" s="92"/>
      <c r="P48" s="92"/>
      <c r="Q48" s="92"/>
      <c r="S48" s="92"/>
    </row>
    <row r="49" spans="1:19" s="153" customFormat="1" ht="12.75">
      <c r="A49" s="89"/>
      <c r="B49" s="32" t="s">
        <v>2</v>
      </c>
      <c r="C49" s="89"/>
      <c r="D49" s="71">
        <v>3183</v>
      </c>
      <c r="E49" s="132"/>
      <c r="F49" s="86">
        <v>4761</v>
      </c>
      <c r="G49" s="132"/>
      <c r="H49" s="86">
        <v>15816</v>
      </c>
      <c r="I49" s="132" t="s">
        <v>7</v>
      </c>
      <c r="L49" s="155"/>
      <c r="M49" s="159"/>
      <c r="N49" s="92"/>
      <c r="O49" s="92"/>
      <c r="P49" s="92"/>
      <c r="Q49" s="92"/>
      <c r="S49" s="92"/>
    </row>
    <row r="50" spans="1:19" s="153" customFormat="1" ht="12.75">
      <c r="A50" s="162"/>
      <c r="B50" s="113" t="s">
        <v>77</v>
      </c>
      <c r="C50" s="89"/>
      <c r="D50" s="72">
        <f>SUM(D45:D49)</f>
        <v>258295</v>
      </c>
      <c r="E50" s="161"/>
      <c r="F50" s="87">
        <f>SUM(F45:F49)</f>
        <v>390822</v>
      </c>
      <c r="G50" s="163"/>
      <c r="H50" s="87">
        <f>SUM(H45:H49)</f>
        <v>1349702</v>
      </c>
      <c r="I50" s="163"/>
      <c r="L50" s="155"/>
      <c r="M50" s="159"/>
      <c r="N50" s="92"/>
      <c r="O50" s="92"/>
      <c r="P50" s="92"/>
      <c r="Q50" s="92"/>
      <c r="S50" s="92"/>
    </row>
    <row r="51" spans="1:19" s="153" customFormat="1" ht="12.75">
      <c r="A51" s="89"/>
      <c r="B51" s="32" t="s">
        <v>78</v>
      </c>
      <c r="C51" s="89"/>
      <c r="D51" s="30"/>
      <c r="E51" s="91"/>
      <c r="F51" s="30"/>
      <c r="G51" s="164"/>
      <c r="H51" s="168"/>
      <c r="I51" s="164"/>
      <c r="M51" s="159"/>
      <c r="N51" s="92"/>
      <c r="O51" s="92"/>
      <c r="P51" s="92"/>
      <c r="Q51" s="92"/>
      <c r="R51" s="92"/>
      <c r="S51" s="92"/>
    </row>
    <row r="52" spans="1:19" s="153" customFormat="1" ht="12.75" hidden="1">
      <c r="A52" s="89"/>
      <c r="B52" s="32" t="s">
        <v>1</v>
      </c>
      <c r="C52" s="89"/>
      <c r="D52" s="57">
        <v>0</v>
      </c>
      <c r="E52" s="93"/>
      <c r="F52" s="24">
        <v>0</v>
      </c>
      <c r="G52" s="93"/>
      <c r="H52" s="24">
        <v>0</v>
      </c>
      <c r="I52" s="164"/>
      <c r="M52" s="159"/>
      <c r="N52" s="92"/>
      <c r="O52" s="92"/>
      <c r="P52" s="92"/>
      <c r="Q52" s="92"/>
      <c r="R52" s="92"/>
      <c r="S52" s="92"/>
    </row>
    <row r="53" spans="1:19" s="153" customFormat="1" ht="12.75">
      <c r="A53" s="89"/>
      <c r="B53" s="32" t="s">
        <v>75</v>
      </c>
      <c r="C53" s="89"/>
      <c r="D53" s="62">
        <v>0</v>
      </c>
      <c r="E53" s="93"/>
      <c r="F53" s="86">
        <v>0</v>
      </c>
      <c r="G53" s="93"/>
      <c r="H53" s="24">
        <v>500</v>
      </c>
      <c r="I53" s="164"/>
      <c r="M53" s="159"/>
      <c r="N53" s="92"/>
      <c r="O53" s="92"/>
      <c r="P53" s="92"/>
      <c r="Q53" s="92"/>
      <c r="R53" s="92"/>
      <c r="S53" s="92"/>
    </row>
    <row r="54" spans="1:19" s="153" customFormat="1" ht="12.75">
      <c r="A54" s="89"/>
      <c r="B54" s="32" t="s">
        <v>2</v>
      </c>
      <c r="C54" s="89" t="s">
        <v>7</v>
      </c>
      <c r="D54" s="62">
        <v>1138</v>
      </c>
      <c r="E54" s="165"/>
      <c r="F54" s="53">
        <v>0</v>
      </c>
      <c r="G54" s="165"/>
      <c r="H54" s="53">
        <v>0</v>
      </c>
      <c r="I54" s="164"/>
      <c r="M54" s="159"/>
      <c r="N54" s="92"/>
      <c r="O54" s="92"/>
      <c r="P54" s="92"/>
      <c r="Q54" s="92"/>
      <c r="R54" s="92"/>
      <c r="S54" s="92"/>
    </row>
    <row r="55" spans="1:19" s="153" customFormat="1" ht="12.75">
      <c r="A55" s="162"/>
      <c r="B55" s="113" t="s">
        <v>79</v>
      </c>
      <c r="C55" s="89"/>
      <c r="D55" s="60">
        <f>SUM(D52:D54)</f>
        <v>1138</v>
      </c>
      <c r="E55" s="91"/>
      <c r="F55" s="29">
        <f>SUM(F52:F54)</f>
        <v>0</v>
      </c>
      <c r="G55" s="164"/>
      <c r="H55" s="29">
        <f>SUM(H52:H54)</f>
        <v>500</v>
      </c>
      <c r="I55" s="164"/>
      <c r="M55" s="159"/>
      <c r="N55" s="92"/>
      <c r="O55" s="92"/>
      <c r="P55" s="92"/>
      <c r="Q55" s="92"/>
      <c r="R55" s="92"/>
      <c r="S55" s="92"/>
    </row>
    <row r="56" spans="1:19" s="153" customFormat="1" ht="12.75" hidden="1">
      <c r="A56" s="89"/>
      <c r="B56" s="32" t="s">
        <v>80</v>
      </c>
      <c r="C56" s="89"/>
      <c r="D56" s="53"/>
      <c r="E56" s="165"/>
      <c r="F56" s="53"/>
      <c r="G56" s="165"/>
      <c r="H56" s="223"/>
      <c r="I56" s="164"/>
      <c r="M56" s="159"/>
      <c r="N56" s="92"/>
      <c r="O56" s="92"/>
      <c r="P56" s="92"/>
      <c r="Q56" s="92"/>
      <c r="R56" s="92"/>
      <c r="S56" s="92"/>
    </row>
    <row r="57" spans="1:19" s="153" customFormat="1" ht="12.75" hidden="1">
      <c r="A57" s="89"/>
      <c r="B57" s="32" t="s">
        <v>76</v>
      </c>
      <c r="C57" s="89"/>
      <c r="D57" s="134">
        <v>0</v>
      </c>
      <c r="E57" s="166"/>
      <c r="F57" s="135">
        <v>0</v>
      </c>
      <c r="G57" s="166"/>
      <c r="H57" s="284">
        <v>0</v>
      </c>
      <c r="I57" s="164"/>
      <c r="M57" s="159"/>
      <c r="N57" s="92"/>
      <c r="O57" s="92"/>
      <c r="P57" s="92"/>
      <c r="Q57" s="92"/>
      <c r="R57" s="92"/>
      <c r="S57" s="92"/>
    </row>
    <row r="58" spans="1:19" s="153" customFormat="1" ht="12.75" hidden="1">
      <c r="A58" s="89"/>
      <c r="B58" s="32" t="s">
        <v>2</v>
      </c>
      <c r="C58" s="89"/>
      <c r="D58" s="71"/>
      <c r="E58" s="132"/>
      <c r="F58" s="86">
        <v>0</v>
      </c>
      <c r="G58" s="132"/>
      <c r="H58" s="86">
        <v>0</v>
      </c>
      <c r="I58" s="164"/>
      <c r="M58" s="159"/>
      <c r="N58" s="92"/>
      <c r="O58" s="92"/>
      <c r="P58" s="92"/>
      <c r="Q58" s="92"/>
      <c r="R58" s="92"/>
      <c r="S58" s="92"/>
    </row>
    <row r="59" spans="1:19" s="153" customFormat="1" ht="12.75" hidden="1">
      <c r="A59" s="162" t="s">
        <v>7</v>
      </c>
      <c r="B59" s="113" t="s">
        <v>81</v>
      </c>
      <c r="C59" s="89"/>
      <c r="D59" s="72">
        <f>SUM(D57:D58)</f>
        <v>0</v>
      </c>
      <c r="E59" s="161"/>
      <c r="F59" s="87">
        <f>SUM(F57:F58)</f>
        <v>0</v>
      </c>
      <c r="G59" s="163"/>
      <c r="H59" s="87">
        <f>SUM(H57:H58)</f>
        <v>0</v>
      </c>
      <c r="I59" s="164"/>
      <c r="K59" s="198"/>
      <c r="M59" s="159"/>
      <c r="N59" s="92"/>
      <c r="O59" s="92"/>
      <c r="P59" s="92"/>
      <c r="Q59" s="92"/>
      <c r="R59" s="92"/>
      <c r="S59" s="92"/>
    </row>
    <row r="60" spans="1:19" s="153" customFormat="1" ht="12.75">
      <c r="A60" s="89"/>
      <c r="B60" s="32" t="s">
        <v>82</v>
      </c>
      <c r="C60" s="89"/>
      <c r="D60" s="133"/>
      <c r="E60" s="161"/>
      <c r="F60" s="163"/>
      <c r="G60" s="163"/>
      <c r="H60" s="224"/>
      <c r="I60" s="164"/>
      <c r="M60" s="159"/>
      <c r="N60" s="92"/>
      <c r="O60" s="92"/>
      <c r="P60" s="92"/>
      <c r="Q60" s="92"/>
      <c r="R60" s="92"/>
      <c r="S60" s="92"/>
    </row>
    <row r="61" spans="1:19" s="153" customFormat="1" ht="12.75">
      <c r="A61" s="92"/>
      <c r="B61" s="32" t="s">
        <v>1</v>
      </c>
      <c r="C61" s="92"/>
      <c r="D61" s="70">
        <f>D45+D52</f>
        <v>155384</v>
      </c>
      <c r="E61" s="73"/>
      <c r="F61" s="73">
        <f>F45+F52</f>
        <v>319327</v>
      </c>
      <c r="G61" s="73"/>
      <c r="H61" s="73">
        <f>H45+H52</f>
        <v>893050</v>
      </c>
      <c r="I61" s="164"/>
      <c r="M61" s="159"/>
      <c r="N61" s="92"/>
      <c r="O61" s="92"/>
      <c r="P61" s="92"/>
      <c r="Q61" s="92"/>
      <c r="R61" s="92"/>
      <c r="S61" s="92"/>
    </row>
    <row r="62" spans="1:19" s="153" customFormat="1" ht="12.75">
      <c r="A62" s="92"/>
      <c r="B62" s="25" t="s">
        <v>74</v>
      </c>
      <c r="C62" s="92"/>
      <c r="D62" s="71">
        <f>D46</f>
        <v>34321</v>
      </c>
      <c r="E62" s="86"/>
      <c r="F62" s="86">
        <f>F46</f>
        <v>23441</v>
      </c>
      <c r="G62" s="86"/>
      <c r="H62" s="86">
        <f>H46</f>
        <v>169043</v>
      </c>
      <c r="I62" s="164"/>
      <c r="M62" s="159"/>
      <c r="N62" s="92"/>
      <c r="O62" s="92"/>
      <c r="P62" s="92"/>
      <c r="Q62" s="92"/>
      <c r="R62" s="92"/>
      <c r="S62" s="92"/>
    </row>
    <row r="63" spans="1:19" s="153" customFormat="1" ht="12.75">
      <c r="A63" s="89"/>
      <c r="B63" s="32" t="s">
        <v>75</v>
      </c>
      <c r="C63" s="89"/>
      <c r="D63" s="71">
        <f>D47+D53</f>
        <v>42200</v>
      </c>
      <c r="E63" s="86"/>
      <c r="F63" s="86">
        <f>F47</f>
        <v>22717</v>
      </c>
      <c r="G63" s="86"/>
      <c r="H63" s="86">
        <f>H47+H53</f>
        <v>182135</v>
      </c>
      <c r="I63" s="164"/>
      <c r="M63" s="159"/>
      <c r="N63" s="92"/>
      <c r="O63" s="92"/>
      <c r="P63" s="92"/>
      <c r="Q63" s="92"/>
      <c r="R63" s="92"/>
      <c r="S63" s="92"/>
    </row>
    <row r="64" spans="1:19" s="153" customFormat="1" ht="12.75">
      <c r="A64" s="89"/>
      <c r="B64" s="32" t="s">
        <v>76</v>
      </c>
      <c r="C64" s="89"/>
      <c r="D64" s="71">
        <f>D48+D57</f>
        <v>23207</v>
      </c>
      <c r="E64" s="86"/>
      <c r="F64" s="86">
        <f>F48+F57</f>
        <v>20576</v>
      </c>
      <c r="G64" s="86"/>
      <c r="H64" s="86">
        <f>H48</f>
        <v>90158</v>
      </c>
      <c r="I64" s="164"/>
      <c r="M64" s="159"/>
      <c r="N64" s="92"/>
      <c r="O64" s="92"/>
      <c r="P64" s="92"/>
      <c r="Q64" s="92"/>
      <c r="R64" s="92"/>
      <c r="S64" s="92"/>
    </row>
    <row r="65" spans="1:19" s="153" customFormat="1" ht="12.75">
      <c r="A65" s="89"/>
      <c r="B65" s="32" t="s">
        <v>2</v>
      </c>
      <c r="C65" s="89"/>
      <c r="D65" s="71">
        <f>D49+D54+D58</f>
        <v>4321</v>
      </c>
      <c r="E65" s="86"/>
      <c r="F65" s="86">
        <f>F49+F54+F58</f>
        <v>4761</v>
      </c>
      <c r="G65" s="86"/>
      <c r="H65" s="86">
        <f>H49+H58</f>
        <v>15816</v>
      </c>
      <c r="I65" s="164"/>
      <c r="M65" s="159"/>
      <c r="N65" s="92"/>
      <c r="O65" s="92"/>
      <c r="P65" s="92"/>
      <c r="Q65" s="92"/>
      <c r="R65" s="92"/>
      <c r="S65" s="92"/>
    </row>
    <row r="66" spans="1:19" s="153" customFormat="1" ht="12.75">
      <c r="A66" s="162"/>
      <c r="B66" s="113" t="s">
        <v>170</v>
      </c>
      <c r="C66" s="89"/>
      <c r="D66" s="72">
        <f>SUM(D61:D65)</f>
        <v>259433</v>
      </c>
      <c r="E66" s="131"/>
      <c r="F66" s="87">
        <f>SUM(F61:F65)</f>
        <v>390822</v>
      </c>
      <c r="G66" s="133"/>
      <c r="H66" s="87">
        <f>SUM(H61:H65)</f>
        <v>1350202</v>
      </c>
      <c r="I66" s="164"/>
      <c r="M66" s="159"/>
      <c r="N66" s="92"/>
      <c r="O66" s="92"/>
      <c r="P66" s="92"/>
      <c r="Q66" s="92"/>
      <c r="R66" s="92"/>
      <c r="S66" s="92"/>
    </row>
    <row r="67" spans="1:19" s="153" customFormat="1" ht="12.75">
      <c r="A67" s="89"/>
      <c r="B67" s="89"/>
      <c r="C67" s="89"/>
      <c r="D67" s="167"/>
      <c r="E67" s="165"/>
      <c r="F67" s="167"/>
      <c r="G67" s="167"/>
      <c r="H67" s="167"/>
      <c r="I67" s="164"/>
      <c r="M67" s="159"/>
      <c r="N67" s="92"/>
      <c r="O67" s="92"/>
      <c r="P67" s="92"/>
      <c r="Q67" s="92"/>
      <c r="R67" s="92"/>
      <c r="S67" s="92"/>
    </row>
    <row r="68" spans="1:23" ht="12.75">
      <c r="A68" s="109"/>
      <c r="B68" s="109"/>
      <c r="C68" s="5"/>
      <c r="D68" s="91"/>
      <c r="E68" s="17"/>
      <c r="F68" s="17"/>
      <c r="G68" s="17"/>
      <c r="H68" s="17"/>
      <c r="I68" s="17"/>
      <c r="J68" s="91"/>
      <c r="K68" s="17"/>
      <c r="L68" s="17"/>
      <c r="M68" s="17"/>
      <c r="P68" s="17"/>
      <c r="Q68" s="77"/>
      <c r="R68" s="14"/>
      <c r="S68" s="14"/>
      <c r="T68" s="14"/>
      <c r="U68" s="14"/>
      <c r="V68" s="5"/>
      <c r="W68" s="5"/>
    </row>
    <row r="69" spans="1:21" s="122" customFormat="1" ht="13.5" thickBot="1">
      <c r="A69" s="38" t="s">
        <v>83</v>
      </c>
      <c r="B69" s="38"/>
      <c r="C69" s="38"/>
      <c r="D69" s="128"/>
      <c r="E69" s="38"/>
      <c r="F69" s="38"/>
      <c r="G69" s="38"/>
      <c r="H69" s="38"/>
      <c r="I69" s="32"/>
      <c r="J69" s="32"/>
      <c r="K69" s="32"/>
      <c r="L69" s="32"/>
      <c r="O69" s="32"/>
      <c r="P69" s="32"/>
      <c r="T69" s="25"/>
      <c r="U69" s="32"/>
    </row>
    <row r="70" spans="1:21" s="122" customFormat="1" ht="12.75">
      <c r="A70" s="32"/>
      <c r="B70" s="32"/>
      <c r="C70" s="32"/>
      <c r="D70" s="315" t="s">
        <v>8</v>
      </c>
      <c r="E70" s="315"/>
      <c r="F70" s="315"/>
      <c r="G70" s="125"/>
      <c r="H70" s="84" t="s">
        <v>37</v>
      </c>
      <c r="I70" s="84"/>
      <c r="J70" s="84"/>
      <c r="K70" s="67"/>
      <c r="L70" s="67"/>
      <c r="O70" s="125"/>
      <c r="P70" s="125"/>
      <c r="T70" s="25"/>
      <c r="U70" s="32"/>
    </row>
    <row r="71" spans="1:21" s="122" customFormat="1" ht="12.75">
      <c r="A71" s="67"/>
      <c r="B71" s="67"/>
      <c r="C71" s="67"/>
      <c r="D71" s="309" t="s">
        <v>246</v>
      </c>
      <c r="E71" s="309"/>
      <c r="F71" s="309"/>
      <c r="G71" s="67"/>
      <c r="H71" s="84" t="s">
        <v>6</v>
      </c>
      <c r="I71" s="84"/>
      <c r="J71" s="84"/>
      <c r="K71" s="67"/>
      <c r="L71" s="67"/>
      <c r="O71" s="67"/>
      <c r="P71" s="67"/>
      <c r="T71" s="25"/>
      <c r="U71" s="25"/>
    </row>
    <row r="72" spans="1:19" s="122" customFormat="1" ht="12.75">
      <c r="A72" s="136"/>
      <c r="B72" s="105"/>
      <c r="C72" s="25"/>
      <c r="D72" s="56">
        <v>2009</v>
      </c>
      <c r="E72" s="129"/>
      <c r="F72" s="26">
        <v>2009</v>
      </c>
      <c r="G72" s="68"/>
      <c r="H72" s="283">
        <v>2009</v>
      </c>
      <c r="I72" s="84"/>
      <c r="J72" s="84"/>
      <c r="N72" s="129"/>
      <c r="O72" s="25"/>
      <c r="P72" s="25"/>
      <c r="Q72" s="25"/>
      <c r="R72" s="25"/>
      <c r="S72" s="25"/>
    </row>
    <row r="73" spans="1:21" s="122" customFormat="1" ht="12.75">
      <c r="A73" s="226" t="s">
        <v>199</v>
      </c>
      <c r="B73" s="32"/>
      <c r="C73" s="25"/>
      <c r="D73" s="313" t="s">
        <v>5</v>
      </c>
      <c r="E73" s="313"/>
      <c r="F73" s="313"/>
      <c r="G73" s="313"/>
      <c r="H73" s="313"/>
      <c r="I73" s="217"/>
      <c r="J73" s="217"/>
      <c r="K73" s="217"/>
      <c r="L73" s="217"/>
      <c r="Q73" s="129"/>
      <c r="R73" s="129"/>
      <c r="S73" s="129"/>
      <c r="T73" s="25"/>
      <c r="U73" s="25"/>
    </row>
    <row r="74" spans="1:21" s="122" customFormat="1" ht="12.75">
      <c r="A74" s="121" t="s">
        <v>33</v>
      </c>
      <c r="B74" s="48"/>
      <c r="C74" s="25"/>
      <c r="D74" s="24"/>
      <c r="E74" s="24"/>
      <c r="F74" s="24"/>
      <c r="G74" s="24"/>
      <c r="H74" s="24"/>
      <c r="I74" s="23"/>
      <c r="J74" s="23"/>
      <c r="K74" s="23"/>
      <c r="L74" s="88"/>
      <c r="P74" s="24"/>
      <c r="Q74" s="25"/>
      <c r="R74" s="25"/>
      <c r="S74" s="25"/>
      <c r="T74" s="25"/>
      <c r="U74" s="25"/>
    </row>
    <row r="75" spans="1:19" s="122" customFormat="1" ht="12.75">
      <c r="A75" s="25"/>
      <c r="B75" s="48" t="s">
        <v>15</v>
      </c>
      <c r="C75" s="25"/>
      <c r="D75" s="57">
        <v>106310</v>
      </c>
      <c r="E75" s="24"/>
      <c r="F75" s="24">
        <v>216563</v>
      </c>
      <c r="G75" s="24"/>
      <c r="H75" s="24">
        <f>702555-200</f>
        <v>702355</v>
      </c>
      <c r="I75" s="23"/>
      <c r="J75" s="23"/>
      <c r="M75" s="137"/>
      <c r="N75" s="24"/>
      <c r="O75" s="25"/>
      <c r="P75" s="25"/>
      <c r="Q75" s="25"/>
      <c r="R75" s="25"/>
      <c r="S75" s="25"/>
    </row>
    <row r="76" spans="1:19" s="122" customFormat="1" ht="12.75" hidden="1">
      <c r="A76" s="25"/>
      <c r="B76" s="48" t="s">
        <v>65</v>
      </c>
      <c r="C76" s="25"/>
      <c r="D76" s="58"/>
      <c r="E76" s="22"/>
      <c r="F76" s="22">
        <v>0</v>
      </c>
      <c r="G76" s="22"/>
      <c r="H76" s="53">
        <v>0</v>
      </c>
      <c r="I76" s="28"/>
      <c r="J76" s="28"/>
      <c r="M76" s="137"/>
      <c r="N76" s="24"/>
      <c r="O76" s="25"/>
      <c r="P76" s="25"/>
      <c r="Q76" s="25"/>
      <c r="R76" s="25"/>
      <c r="S76" s="25"/>
    </row>
    <row r="77" spans="1:19" s="122" customFormat="1" ht="12.75">
      <c r="A77" s="25"/>
      <c r="B77" s="48" t="s">
        <v>84</v>
      </c>
      <c r="C77" s="45"/>
      <c r="D77" s="61">
        <v>-538</v>
      </c>
      <c r="E77" s="45"/>
      <c r="F77" s="45">
        <v>-50585</v>
      </c>
      <c r="G77" s="45"/>
      <c r="H77" s="53">
        <f>-105086-48138</f>
        <v>-153224</v>
      </c>
      <c r="I77" s="23"/>
      <c r="J77" s="28"/>
      <c r="L77" s="305"/>
      <c r="M77" s="137"/>
      <c r="N77" s="24"/>
      <c r="O77" s="25"/>
      <c r="P77" s="25"/>
      <c r="Q77" s="25"/>
      <c r="R77" s="25"/>
      <c r="S77" s="25"/>
    </row>
    <row r="78" spans="1:19" s="122" customFormat="1" ht="12.75">
      <c r="A78" s="25"/>
      <c r="B78" s="48" t="s">
        <v>85</v>
      </c>
      <c r="C78" s="45"/>
      <c r="D78" s="61">
        <f>-26954-17</f>
        <v>-26971</v>
      </c>
      <c r="E78" s="45"/>
      <c r="F78" s="45">
        <v>-31829</v>
      </c>
      <c r="G78" s="45"/>
      <c r="H78" s="53">
        <f>-273966-H79</f>
        <v>-122394</v>
      </c>
      <c r="I78" s="23"/>
      <c r="J78" s="28"/>
      <c r="M78" s="137"/>
      <c r="N78" s="24"/>
      <c r="O78" s="25"/>
      <c r="P78" s="25"/>
      <c r="Q78" s="25"/>
      <c r="R78" s="25"/>
      <c r="S78" s="25"/>
    </row>
    <row r="79" spans="1:19" s="122" customFormat="1" ht="12.75">
      <c r="A79" s="25"/>
      <c r="B79" s="48" t="s">
        <v>86</v>
      </c>
      <c r="C79" s="45"/>
      <c r="D79" s="61">
        <f>-2911-31877</f>
        <v>-34788</v>
      </c>
      <c r="E79" s="45"/>
      <c r="F79" s="45">
        <v>-16066</v>
      </c>
      <c r="G79" s="45"/>
      <c r="H79" s="53">
        <f>-128390-10138-13044</f>
        <v>-151572</v>
      </c>
      <c r="I79" s="23"/>
      <c r="J79" s="28"/>
      <c r="M79" s="137"/>
      <c r="N79" s="24"/>
      <c r="O79" s="25"/>
      <c r="P79" s="25"/>
      <c r="Q79" s="25"/>
      <c r="R79" s="25"/>
      <c r="S79" s="25"/>
    </row>
    <row r="80" spans="1:19" s="122" customFormat="1" ht="12.75">
      <c r="A80" s="113"/>
      <c r="B80" s="49" t="s">
        <v>87</v>
      </c>
      <c r="C80" s="25"/>
      <c r="D80" s="103">
        <f>SUM(D75:D79)</f>
        <v>44013</v>
      </c>
      <c r="E80" s="22"/>
      <c r="F80" s="100">
        <f>SUM(F75:F79)</f>
        <v>118083</v>
      </c>
      <c r="G80" s="28"/>
      <c r="H80" s="100">
        <f>SUM(H75:H79)</f>
        <v>275165</v>
      </c>
      <c r="I80" s="28"/>
      <c r="J80" s="28"/>
      <c r="M80" s="137"/>
      <c r="N80" s="24"/>
      <c r="O80" s="25"/>
      <c r="P80" s="25"/>
      <c r="Q80" s="25"/>
      <c r="R80" s="25"/>
      <c r="S80" s="25"/>
    </row>
    <row r="81" spans="1:19" s="122" customFormat="1" ht="12.75">
      <c r="A81" s="121" t="s">
        <v>57</v>
      </c>
      <c r="B81" s="48"/>
      <c r="C81" s="25"/>
      <c r="D81" s="22"/>
      <c r="E81" s="22"/>
      <c r="F81" s="22"/>
      <c r="G81" s="22"/>
      <c r="H81" s="168"/>
      <c r="I81" s="28"/>
      <c r="J81" s="28"/>
      <c r="M81" s="137"/>
      <c r="N81" s="24"/>
      <c r="O81" s="25"/>
      <c r="P81" s="25"/>
      <c r="Q81" s="25"/>
      <c r="R81" s="25"/>
      <c r="S81" s="25"/>
    </row>
    <row r="82" spans="1:19" s="122" customFormat="1" ht="12.75">
      <c r="A82" s="25"/>
      <c r="B82" s="48" t="s">
        <v>15</v>
      </c>
      <c r="C82" s="25"/>
      <c r="D82" s="57">
        <f>-2224+269-4814</f>
        <v>-6769</v>
      </c>
      <c r="E82" s="24"/>
      <c r="F82" s="24">
        <v>-11221</v>
      </c>
      <c r="G82" s="24"/>
      <c r="H82" s="24">
        <f>-11343+4644-22920-1-41</f>
        <v>-29661</v>
      </c>
      <c r="I82" s="23"/>
      <c r="J82" s="23"/>
      <c r="L82" s="305"/>
      <c r="M82" s="137"/>
      <c r="N82" s="24"/>
      <c r="O82" s="25"/>
      <c r="P82" s="25"/>
      <c r="Q82" s="25"/>
      <c r="S82" s="25"/>
    </row>
    <row r="83" spans="1:19" s="122" customFormat="1" ht="12.75">
      <c r="A83" s="25"/>
      <c r="B83" s="48" t="s">
        <v>84</v>
      </c>
      <c r="C83" s="25"/>
      <c r="D83" s="58">
        <v>0</v>
      </c>
      <c r="E83" s="22"/>
      <c r="F83" s="22">
        <v>0</v>
      </c>
      <c r="G83" s="22"/>
      <c r="H83" s="53">
        <v>-391</v>
      </c>
      <c r="I83" s="28"/>
      <c r="J83" s="28"/>
      <c r="M83" s="137"/>
      <c r="N83" s="24"/>
      <c r="O83" s="25"/>
      <c r="P83" s="25"/>
      <c r="Q83" s="25"/>
      <c r="R83" s="25"/>
      <c r="S83" s="25"/>
    </row>
    <row r="84" spans="1:19" s="122" customFormat="1" ht="12.75">
      <c r="A84" s="25"/>
      <c r="B84" s="48" t="s">
        <v>85</v>
      </c>
      <c r="C84" s="25"/>
      <c r="D84" s="62">
        <f>-726-1933-116</f>
        <v>-2775</v>
      </c>
      <c r="E84" s="53"/>
      <c r="F84" s="53">
        <v>-2541</v>
      </c>
      <c r="G84" s="24"/>
      <c r="H84" s="53">
        <f>-4805-5667-852-H85</f>
        <v>-9464</v>
      </c>
      <c r="I84" s="23"/>
      <c r="J84" s="28"/>
      <c r="M84" s="137"/>
      <c r="N84" s="24"/>
      <c r="O84" s="25"/>
      <c r="P84" s="25"/>
      <c r="Q84" s="25"/>
      <c r="R84" s="25"/>
      <c r="S84" s="25"/>
    </row>
    <row r="85" spans="1:19" s="122" customFormat="1" ht="12.75">
      <c r="A85" s="25"/>
      <c r="B85" s="48" t="s">
        <v>86</v>
      </c>
      <c r="C85" s="25"/>
      <c r="D85" s="62">
        <v>0</v>
      </c>
      <c r="E85" s="53"/>
      <c r="F85" s="53">
        <v>-756</v>
      </c>
      <c r="G85" s="24"/>
      <c r="H85" s="53">
        <f>-1560-300</f>
        <v>-1860</v>
      </c>
      <c r="I85" s="23"/>
      <c r="J85" s="28"/>
      <c r="M85" s="137"/>
      <c r="N85" s="24"/>
      <c r="O85" s="25"/>
      <c r="P85" s="25"/>
      <c r="Q85" s="25"/>
      <c r="R85" s="25"/>
      <c r="S85" s="25"/>
    </row>
    <row r="86" spans="1:19" s="122" customFormat="1" ht="12.75">
      <c r="A86" s="113"/>
      <c r="B86" s="49" t="s">
        <v>88</v>
      </c>
      <c r="C86" s="25"/>
      <c r="D86" s="103">
        <f>SUM(D82:D85)</f>
        <v>-9544</v>
      </c>
      <c r="E86" s="22"/>
      <c r="F86" s="100">
        <f>SUM(F82:F85)</f>
        <v>-14518</v>
      </c>
      <c r="G86" s="28"/>
      <c r="H86" s="100">
        <f>SUM(H82:H85)</f>
        <v>-41376</v>
      </c>
      <c r="I86" s="28"/>
      <c r="J86" s="28"/>
      <c r="M86" s="137"/>
      <c r="N86" s="24"/>
      <c r="O86" s="25"/>
      <c r="P86" s="25"/>
      <c r="Q86" s="25"/>
      <c r="R86" s="25"/>
      <c r="S86" s="25"/>
    </row>
    <row r="87" spans="1:19" s="122" customFormat="1" ht="12.75">
      <c r="A87" s="121" t="s">
        <v>89</v>
      </c>
      <c r="B87" s="48"/>
      <c r="C87" s="25"/>
      <c r="D87" s="22"/>
      <c r="E87" s="22"/>
      <c r="F87" s="22"/>
      <c r="G87" s="22"/>
      <c r="H87" s="168"/>
      <c r="I87" s="28"/>
      <c r="J87" s="28"/>
      <c r="M87" s="137"/>
      <c r="N87" s="24"/>
      <c r="O87" s="25"/>
      <c r="P87" s="25"/>
      <c r="Q87" s="25"/>
      <c r="R87" s="25"/>
      <c r="S87" s="25"/>
    </row>
    <row r="88" spans="1:19" s="122" customFormat="1" ht="12.75">
      <c r="A88" s="25"/>
      <c r="B88" s="48" t="s">
        <v>15</v>
      </c>
      <c r="C88" s="25"/>
      <c r="D88" s="57">
        <v>-251</v>
      </c>
      <c r="E88" s="24"/>
      <c r="F88" s="24">
        <v>995</v>
      </c>
      <c r="G88" s="24"/>
      <c r="H88" s="24">
        <v>-548</v>
      </c>
      <c r="I88" s="28"/>
      <c r="J88" s="23"/>
      <c r="M88" s="137"/>
      <c r="N88" s="24"/>
      <c r="O88" s="25"/>
      <c r="P88" s="25"/>
      <c r="Q88" s="25"/>
      <c r="R88" s="25"/>
      <c r="S88" s="25"/>
    </row>
    <row r="89" spans="1:19" s="122" customFormat="1" ht="12.75">
      <c r="A89" s="25"/>
      <c r="B89" s="48" t="s">
        <v>85</v>
      </c>
      <c r="C89" s="25"/>
      <c r="D89" s="62">
        <v>0</v>
      </c>
      <c r="E89" s="53"/>
      <c r="F89" s="53">
        <v>37</v>
      </c>
      <c r="G89" s="24"/>
      <c r="H89" s="53">
        <v>0</v>
      </c>
      <c r="I89" s="28"/>
      <c r="J89" s="28"/>
      <c r="M89" s="137"/>
      <c r="N89" s="24"/>
      <c r="O89" s="25"/>
      <c r="P89" s="25"/>
      <c r="Q89" s="25"/>
      <c r="R89" s="25"/>
      <c r="S89" s="25"/>
    </row>
    <row r="90" spans="1:19" s="122" customFormat="1" ht="12.75">
      <c r="A90" s="25"/>
      <c r="B90" s="48" t="s">
        <v>86</v>
      </c>
      <c r="C90" s="25"/>
      <c r="D90" s="62">
        <v>5</v>
      </c>
      <c r="E90" s="53"/>
      <c r="F90" s="53">
        <v>5</v>
      </c>
      <c r="G90" s="24"/>
      <c r="H90" s="53">
        <v>21</v>
      </c>
      <c r="I90" s="28"/>
      <c r="J90" s="28"/>
      <c r="M90" s="137"/>
      <c r="N90" s="24"/>
      <c r="O90" s="25"/>
      <c r="P90" s="25"/>
      <c r="Q90" s="25"/>
      <c r="R90" s="25"/>
      <c r="S90" s="25"/>
    </row>
    <row r="91" spans="1:19" s="122" customFormat="1" ht="12.75">
      <c r="A91" s="113"/>
      <c r="B91" s="49" t="s">
        <v>88</v>
      </c>
      <c r="C91" s="25"/>
      <c r="D91" s="103">
        <f>SUM(D88:D90)</f>
        <v>-246</v>
      </c>
      <c r="E91" s="22"/>
      <c r="F91" s="100">
        <f>SUM(F88:F90)</f>
        <v>1037</v>
      </c>
      <c r="G91" s="28"/>
      <c r="H91" s="100">
        <f>SUM(H88:H90)</f>
        <v>-527</v>
      </c>
      <c r="I91" s="28"/>
      <c r="J91" s="28"/>
      <c r="M91" s="137"/>
      <c r="N91" s="24"/>
      <c r="O91" s="25"/>
      <c r="P91" s="25"/>
      <c r="Q91" s="25"/>
      <c r="R91" s="25"/>
      <c r="S91" s="25"/>
    </row>
    <row r="92" spans="1:19" s="122" customFormat="1" ht="12.75">
      <c r="A92" s="138" t="s">
        <v>90</v>
      </c>
      <c r="B92" s="55"/>
      <c r="C92" s="32"/>
      <c r="D92" s="28"/>
      <c r="E92" s="28"/>
      <c r="F92" s="28"/>
      <c r="G92" s="28"/>
      <c r="H92" s="168"/>
      <c r="I92" s="28"/>
      <c r="J92" s="28"/>
      <c r="M92" s="137"/>
      <c r="N92" s="22"/>
      <c r="O92" s="25"/>
      <c r="P92" s="25"/>
      <c r="Q92" s="25"/>
      <c r="R92" s="25"/>
      <c r="S92" s="25"/>
    </row>
    <row r="93" spans="1:19" s="122" customFormat="1" ht="12.75">
      <c r="A93" s="32"/>
      <c r="B93" s="48" t="s">
        <v>15</v>
      </c>
      <c r="C93" s="32"/>
      <c r="D93" s="104">
        <f>D82+D75+D88</f>
        <v>99290</v>
      </c>
      <c r="E93" s="23"/>
      <c r="F93" s="23">
        <f>F82+F75+F88</f>
        <v>206337</v>
      </c>
      <c r="G93" s="23"/>
      <c r="H93" s="23">
        <f>H82+H75+H88</f>
        <v>672146</v>
      </c>
      <c r="I93" s="23"/>
      <c r="J93" s="23"/>
      <c r="M93" s="137"/>
      <c r="N93" s="22"/>
      <c r="O93" s="25"/>
      <c r="P93" s="25"/>
      <c r="Q93" s="25"/>
      <c r="R93" s="25"/>
      <c r="S93" s="25"/>
    </row>
    <row r="94" spans="1:19" s="122" customFormat="1" ht="12.75" hidden="1">
      <c r="A94" s="32"/>
      <c r="B94" s="48" t="s">
        <v>65</v>
      </c>
      <c r="C94" s="32"/>
      <c r="D94" s="59">
        <f>D76</f>
        <v>0</v>
      </c>
      <c r="E94" s="28"/>
      <c r="F94" s="28">
        <f>F76</f>
        <v>0</v>
      </c>
      <c r="G94" s="28"/>
      <c r="H94" s="28">
        <f>H76</f>
        <v>0</v>
      </c>
      <c r="I94" s="28"/>
      <c r="J94" s="28"/>
      <c r="M94" s="137"/>
      <c r="N94" s="22"/>
      <c r="O94" s="25"/>
      <c r="P94" s="25"/>
      <c r="Q94" s="25"/>
      <c r="R94" s="25"/>
      <c r="S94" s="25"/>
    </row>
    <row r="95" spans="1:19" s="122" customFormat="1" ht="12.75">
      <c r="A95" s="32"/>
      <c r="B95" s="48" t="s">
        <v>84</v>
      </c>
      <c r="C95" s="32"/>
      <c r="D95" s="62">
        <f>D77+D83</f>
        <v>-538</v>
      </c>
      <c r="E95" s="53"/>
      <c r="F95" s="53">
        <f>F77+F83</f>
        <v>-50585</v>
      </c>
      <c r="G95" s="53"/>
      <c r="H95" s="53">
        <f>H77+H83</f>
        <v>-153615</v>
      </c>
      <c r="I95" s="23"/>
      <c r="J95" s="53"/>
      <c r="M95" s="137"/>
      <c r="N95" s="22"/>
      <c r="O95" s="25"/>
      <c r="P95" s="25"/>
      <c r="Q95" s="25"/>
      <c r="R95" s="25"/>
      <c r="S95" s="25"/>
    </row>
    <row r="96" spans="1:19" s="122" customFormat="1" ht="12.75">
      <c r="A96" s="32"/>
      <c r="B96" s="48" t="s">
        <v>85</v>
      </c>
      <c r="C96" s="32"/>
      <c r="D96" s="62">
        <f>D78+D84+D89</f>
        <v>-29746</v>
      </c>
      <c r="E96" s="53"/>
      <c r="F96" s="53">
        <f>F78+F84+F89</f>
        <v>-34333</v>
      </c>
      <c r="G96" s="53"/>
      <c r="H96" s="53">
        <f>H78+H84+H89</f>
        <v>-131858</v>
      </c>
      <c r="I96" s="23"/>
      <c r="J96" s="53"/>
      <c r="M96" s="137"/>
      <c r="N96" s="22"/>
      <c r="O96" s="25"/>
      <c r="P96" s="25"/>
      <c r="Q96" s="25"/>
      <c r="R96" s="25"/>
      <c r="S96" s="25"/>
    </row>
    <row r="97" spans="1:19" s="122" customFormat="1" ht="12.75">
      <c r="A97" s="32"/>
      <c r="B97" s="48" t="s">
        <v>86</v>
      </c>
      <c r="C97" s="32"/>
      <c r="D97" s="62">
        <f>D79+D85+D90</f>
        <v>-34783</v>
      </c>
      <c r="E97" s="53"/>
      <c r="F97" s="53">
        <f>F79+F85+F90</f>
        <v>-16817</v>
      </c>
      <c r="G97" s="53"/>
      <c r="H97" s="53">
        <f>H79+H85+H90</f>
        <v>-153411</v>
      </c>
      <c r="I97" s="23"/>
      <c r="J97" s="53"/>
      <c r="M97" s="137"/>
      <c r="N97" s="22"/>
      <c r="O97" s="25"/>
      <c r="P97" s="25"/>
      <c r="Q97" s="25"/>
      <c r="R97" s="25"/>
      <c r="S97" s="25"/>
    </row>
    <row r="98" spans="1:19" s="122" customFormat="1" ht="12.75">
      <c r="A98" s="113"/>
      <c r="B98" s="49" t="s">
        <v>200</v>
      </c>
      <c r="C98" s="32"/>
      <c r="D98" s="60">
        <f>SUM(D93:D97)</f>
        <v>34223</v>
      </c>
      <c r="E98" s="23"/>
      <c r="F98" s="29">
        <f>SUM(F93:F97)</f>
        <v>104602</v>
      </c>
      <c r="G98" s="30"/>
      <c r="H98" s="29">
        <f>SUM(H93:H97)</f>
        <v>233262</v>
      </c>
      <c r="I98" s="23"/>
      <c r="J98" s="30"/>
      <c r="M98" s="137"/>
      <c r="N98" s="24"/>
      <c r="O98" s="25"/>
      <c r="P98" s="25"/>
      <c r="Q98" s="25"/>
      <c r="R98" s="25"/>
      <c r="S98" s="25"/>
    </row>
    <row r="99" spans="1:19" s="122" customFormat="1" ht="12.75">
      <c r="A99" s="139" t="s">
        <v>4</v>
      </c>
      <c r="B99" s="55" t="s">
        <v>91</v>
      </c>
      <c r="C99" s="32"/>
      <c r="D99" s="30"/>
      <c r="E99" s="23"/>
      <c r="F99" s="30"/>
      <c r="G99" s="30"/>
      <c r="H99" s="30"/>
      <c r="I99" s="23"/>
      <c r="J99" s="88"/>
      <c r="M99" s="137"/>
      <c r="N99" s="24"/>
      <c r="O99" s="25"/>
      <c r="P99" s="25"/>
      <c r="Q99" s="25"/>
      <c r="R99" s="25"/>
      <c r="S99" s="25"/>
    </row>
    <row r="100" spans="1:21" s="122" customFormat="1" ht="12.75">
      <c r="A100" s="139"/>
      <c r="B100" s="55"/>
      <c r="C100" s="32"/>
      <c r="D100" s="30"/>
      <c r="E100" s="23"/>
      <c r="F100" s="30"/>
      <c r="G100" s="30"/>
      <c r="H100" s="30"/>
      <c r="I100" s="30"/>
      <c r="J100" s="30"/>
      <c r="K100" s="23"/>
      <c r="L100" s="88"/>
      <c r="O100" s="137"/>
      <c r="P100" s="24"/>
      <c r="Q100" s="25"/>
      <c r="R100" s="25"/>
      <c r="S100" s="25"/>
      <c r="T100" s="25"/>
      <c r="U100" s="25"/>
    </row>
    <row r="101" spans="1:17" ht="12.75">
      <c r="A101" s="5"/>
      <c r="B101" s="32"/>
      <c r="C101" s="92"/>
      <c r="D101" s="91"/>
      <c r="E101" s="93"/>
      <c r="F101" s="91"/>
      <c r="G101" s="91"/>
      <c r="H101" s="91"/>
      <c r="I101" s="91"/>
      <c r="J101" s="91"/>
      <c r="K101" s="91"/>
      <c r="L101" s="91"/>
      <c r="M101" s="30"/>
      <c r="N101" s="122"/>
      <c r="O101" s="122"/>
      <c r="P101" s="25"/>
      <c r="Q101" s="77"/>
    </row>
    <row r="102" spans="1:17" ht="15">
      <c r="A102" s="39" t="s">
        <v>120</v>
      </c>
      <c r="B102" s="25"/>
      <c r="C102" s="32"/>
      <c r="D102" s="25"/>
      <c r="E102" s="25"/>
      <c r="F102" s="91"/>
      <c r="G102" s="91"/>
      <c r="H102" s="91"/>
      <c r="I102" s="91"/>
      <c r="J102" s="91"/>
      <c r="K102" s="91"/>
      <c r="L102" s="91"/>
      <c r="M102" s="30"/>
      <c r="N102" s="122"/>
      <c r="O102" s="122"/>
      <c r="P102" s="25"/>
      <c r="Q102" s="77"/>
    </row>
    <row r="103" spans="1:17" ht="13.5" thickBot="1">
      <c r="A103" s="38" t="s">
        <v>58</v>
      </c>
      <c r="B103" s="38"/>
      <c r="C103" s="38"/>
      <c r="D103" s="38"/>
      <c r="E103" s="38"/>
      <c r="F103" s="124"/>
      <c r="G103" s="124"/>
      <c r="H103" s="124"/>
      <c r="I103" s="91"/>
      <c r="J103" s="91"/>
      <c r="K103" s="91"/>
      <c r="L103" s="91"/>
      <c r="M103" s="30"/>
      <c r="N103" s="122"/>
      <c r="O103" s="122"/>
      <c r="P103" s="25"/>
      <c r="Q103" s="77"/>
    </row>
    <row r="104" spans="1:17" ht="12.75">
      <c r="A104" s="32"/>
      <c r="B104" s="32"/>
      <c r="C104" s="25"/>
      <c r="D104" s="315" t="s">
        <v>8</v>
      </c>
      <c r="E104" s="315"/>
      <c r="F104" s="315"/>
      <c r="G104" s="125"/>
      <c r="H104" s="1" t="s">
        <v>37</v>
      </c>
      <c r="I104" s="1"/>
      <c r="J104" s="1"/>
      <c r="K104" s="66"/>
      <c r="L104" s="1"/>
      <c r="M104" s="30"/>
      <c r="N104" s="122"/>
      <c r="O104" s="122"/>
      <c r="P104" s="25"/>
      <c r="Q104" s="77"/>
    </row>
    <row r="105" spans="1:17" ht="12.75">
      <c r="A105" s="25"/>
      <c r="B105" s="25"/>
      <c r="C105" s="25"/>
      <c r="D105" s="309" t="s">
        <v>246</v>
      </c>
      <c r="E105" s="309"/>
      <c r="F105" s="309"/>
      <c r="G105" s="67"/>
      <c r="H105" s="1" t="s">
        <v>6</v>
      </c>
      <c r="I105" s="1"/>
      <c r="J105" s="1"/>
      <c r="K105" s="1"/>
      <c r="L105" s="1"/>
      <c r="M105" s="30"/>
      <c r="N105" s="122"/>
      <c r="O105" s="122"/>
      <c r="P105" s="25"/>
      <c r="Q105" s="77"/>
    </row>
    <row r="106" spans="1:15" ht="12.75">
      <c r="A106" s="47" t="s">
        <v>7</v>
      </c>
      <c r="B106" s="47"/>
      <c r="C106" s="25"/>
      <c r="D106" s="56">
        <v>2010</v>
      </c>
      <c r="E106" s="114"/>
      <c r="F106" s="26">
        <v>2009</v>
      </c>
      <c r="G106" s="68"/>
      <c r="H106" s="283">
        <v>2009</v>
      </c>
      <c r="I106" s="68"/>
      <c r="J106" s="84"/>
      <c r="K106" s="30"/>
      <c r="L106" s="122"/>
      <c r="M106" s="122"/>
      <c r="N106" s="25"/>
      <c r="O106" s="77"/>
    </row>
    <row r="107" spans="1:17" ht="12.75">
      <c r="A107" s="64"/>
      <c r="B107" s="64"/>
      <c r="C107" s="122"/>
      <c r="D107" s="310" t="s">
        <v>5</v>
      </c>
      <c r="E107" s="310"/>
      <c r="F107" s="310"/>
      <c r="G107" s="310"/>
      <c r="H107" s="310"/>
      <c r="I107" s="215"/>
      <c r="J107" s="215"/>
      <c r="K107" s="215"/>
      <c r="L107" s="215"/>
      <c r="M107" s="30"/>
      <c r="N107" s="122"/>
      <c r="O107" s="122"/>
      <c r="P107" s="25"/>
      <c r="Q107" s="77"/>
    </row>
    <row r="108" spans="1:15" ht="12.75">
      <c r="A108" s="25"/>
      <c r="B108" s="25" t="s">
        <v>59</v>
      </c>
      <c r="C108" s="28"/>
      <c r="D108" s="57">
        <v>7992</v>
      </c>
      <c r="E108" s="14"/>
      <c r="F108" s="24">
        <v>6939</v>
      </c>
      <c r="G108" s="24"/>
      <c r="H108" s="24">
        <v>31555</v>
      </c>
      <c r="I108" s="24"/>
      <c r="J108" s="23"/>
      <c r="K108" s="30"/>
      <c r="L108" s="122"/>
      <c r="M108" s="122"/>
      <c r="N108" s="25"/>
      <c r="O108" s="77"/>
    </row>
    <row r="109" spans="1:15" ht="12.75">
      <c r="A109" s="25"/>
      <c r="B109" s="25" t="s">
        <v>60</v>
      </c>
      <c r="C109" s="22"/>
      <c r="D109" s="58">
        <v>-2473</v>
      </c>
      <c r="E109" s="16"/>
      <c r="F109" s="22">
        <v>-899</v>
      </c>
      <c r="G109" s="22"/>
      <c r="H109" s="22">
        <v>-8749</v>
      </c>
      <c r="I109" s="28"/>
      <c r="J109" s="28"/>
      <c r="K109" s="30"/>
      <c r="L109" s="122"/>
      <c r="M109" s="122"/>
      <c r="N109" s="25"/>
      <c r="O109" s="77"/>
    </row>
    <row r="110" spans="1:15" ht="12.75">
      <c r="A110" s="113"/>
      <c r="B110" s="113" t="s">
        <v>0</v>
      </c>
      <c r="C110" s="122"/>
      <c r="D110" s="60">
        <f>SUM(D108:D109)</f>
        <v>5519</v>
      </c>
      <c r="E110" s="16"/>
      <c r="F110" s="29">
        <f>SUM(F108:F109)</f>
        <v>6040</v>
      </c>
      <c r="G110" s="29"/>
      <c r="H110" s="29">
        <f>SUM(H108:H109)</f>
        <v>22806</v>
      </c>
      <c r="I110" s="30"/>
      <c r="J110" s="30"/>
      <c r="K110" s="30"/>
      <c r="L110" s="122"/>
      <c r="M110" s="122"/>
      <c r="N110" s="25"/>
      <c r="O110" s="77"/>
    </row>
    <row r="111" spans="1:15" ht="12.75">
      <c r="A111" s="5"/>
      <c r="B111" s="32"/>
      <c r="C111" s="92"/>
      <c r="D111" s="91"/>
      <c r="E111" s="93"/>
      <c r="F111" s="91"/>
      <c r="G111" s="91"/>
      <c r="H111" s="91"/>
      <c r="I111" s="91"/>
      <c r="J111" s="91"/>
      <c r="K111" s="30"/>
      <c r="L111" s="122"/>
      <c r="M111" s="122"/>
      <c r="N111" s="25"/>
      <c r="O111" s="77"/>
    </row>
    <row r="112" spans="1:17" ht="12.75">
      <c r="A112" s="109"/>
      <c r="B112" s="109"/>
      <c r="C112" s="5"/>
      <c r="D112" s="91"/>
      <c r="E112" s="17"/>
      <c r="F112" s="17"/>
      <c r="G112" s="17"/>
      <c r="H112" s="17"/>
      <c r="I112" s="17"/>
      <c r="J112" s="17"/>
      <c r="K112" s="17"/>
      <c r="L112" s="17"/>
      <c r="M112" s="17"/>
      <c r="P112" s="17"/>
      <c r="Q112" s="77"/>
    </row>
    <row r="113" spans="1:16" ht="15">
      <c r="A113" s="8" t="s">
        <v>121</v>
      </c>
      <c r="D113" s="3"/>
      <c r="P113" s="3"/>
    </row>
    <row r="114" spans="1:17" ht="13.5" thickBot="1">
      <c r="A114" s="6" t="s">
        <v>16</v>
      </c>
      <c r="B114" s="6"/>
      <c r="C114" s="6"/>
      <c r="D114" s="7"/>
      <c r="E114" s="6"/>
      <c r="F114" s="6"/>
      <c r="G114" s="6"/>
      <c r="H114" s="6"/>
      <c r="I114" s="5"/>
      <c r="J114" s="5"/>
      <c r="K114" s="5"/>
      <c r="L114" s="5"/>
      <c r="Q114" s="5"/>
    </row>
    <row r="115" spans="1:17" ht="12.75">
      <c r="A115" s="5"/>
      <c r="B115" s="5"/>
      <c r="C115" s="5"/>
      <c r="D115" s="315" t="s">
        <v>8</v>
      </c>
      <c r="E115" s="315"/>
      <c r="F115" s="315"/>
      <c r="G115" s="125"/>
      <c r="H115" s="1" t="s">
        <v>37</v>
      </c>
      <c r="I115" s="1"/>
      <c r="J115" s="1"/>
      <c r="K115" s="66"/>
      <c r="L115" s="1"/>
      <c r="M115" s="67"/>
      <c r="N115" s="67"/>
      <c r="Q115" s="66"/>
    </row>
    <row r="116" spans="4:17" ht="12.75">
      <c r="D116" s="309" t="s">
        <v>246</v>
      </c>
      <c r="E116" s="309"/>
      <c r="F116" s="309"/>
      <c r="G116" s="67"/>
      <c r="H116" s="1" t="s">
        <v>6</v>
      </c>
      <c r="I116" s="1"/>
      <c r="J116" s="1"/>
      <c r="K116" s="1"/>
      <c r="L116" s="1"/>
      <c r="M116" s="67"/>
      <c r="N116" s="67"/>
      <c r="Q116" s="1"/>
    </row>
    <row r="117" spans="1:15" ht="12.75">
      <c r="A117" s="13" t="s">
        <v>7</v>
      </c>
      <c r="B117" s="12"/>
      <c r="D117" s="56">
        <v>2010</v>
      </c>
      <c r="E117" s="11"/>
      <c r="F117" s="26">
        <v>2009</v>
      </c>
      <c r="G117" s="68"/>
      <c r="H117" s="283">
        <v>2009</v>
      </c>
      <c r="I117" s="68"/>
      <c r="J117" s="84"/>
      <c r="K117" s="84"/>
      <c r="L117" s="84"/>
      <c r="O117" s="77"/>
    </row>
    <row r="118" spans="1:12" ht="12.75">
      <c r="A118" s="65"/>
      <c r="B118" s="5"/>
      <c r="D118" s="311" t="s">
        <v>5</v>
      </c>
      <c r="E118" s="311"/>
      <c r="F118" s="311"/>
      <c r="G118" s="311"/>
      <c r="H118" s="311"/>
      <c r="I118" s="285"/>
      <c r="J118" s="285"/>
      <c r="K118" s="214"/>
      <c r="L118" s="214"/>
    </row>
    <row r="119" spans="1:15" ht="12.75">
      <c r="A119" s="2"/>
      <c r="B119" s="2" t="s">
        <v>9</v>
      </c>
      <c r="C119" s="2"/>
      <c r="D119" s="57">
        <f>38933+1270</f>
        <v>40203</v>
      </c>
      <c r="E119" s="14"/>
      <c r="F119" s="24">
        <f>36433+1066</f>
        <v>37499</v>
      </c>
      <c r="G119" s="14"/>
      <c r="H119" s="24">
        <f>128252+3606+24781</f>
        <v>156639</v>
      </c>
      <c r="I119" s="14"/>
      <c r="J119" s="23"/>
      <c r="O119" s="77"/>
    </row>
    <row r="120" spans="1:15" ht="12.75">
      <c r="A120" s="2"/>
      <c r="B120" s="2" t="s">
        <v>201</v>
      </c>
      <c r="C120" s="2"/>
      <c r="D120" s="58">
        <v>-10457</v>
      </c>
      <c r="E120" s="16"/>
      <c r="F120" s="22">
        <v>-3166</v>
      </c>
      <c r="G120" s="22"/>
      <c r="H120" s="22">
        <v>-24781</v>
      </c>
      <c r="I120" s="16"/>
      <c r="J120" s="28"/>
      <c r="O120" s="77"/>
    </row>
    <row r="121" spans="1:15" ht="12.75">
      <c r="A121" s="2"/>
      <c r="B121" s="2" t="s">
        <v>102</v>
      </c>
      <c r="C121" s="2"/>
      <c r="D121" s="58">
        <f>2911+31872</f>
        <v>34783</v>
      </c>
      <c r="E121" s="16"/>
      <c r="F121" s="22">
        <f>722+1868+14227</f>
        <v>16817</v>
      </c>
      <c r="G121" s="16"/>
      <c r="H121" s="22">
        <f>14604+10138+128669</f>
        <v>153411</v>
      </c>
      <c r="I121" s="16"/>
      <c r="J121" s="28"/>
      <c r="O121" s="77"/>
    </row>
    <row r="122" spans="1:15" ht="12.75">
      <c r="A122" s="4"/>
      <c r="B122" s="4" t="s">
        <v>0</v>
      </c>
      <c r="C122" s="2"/>
      <c r="D122" s="60">
        <f>SUM(D119:D121)</f>
        <v>64529</v>
      </c>
      <c r="E122" s="16"/>
      <c r="F122" s="29">
        <f>SUM(F119:F121)</f>
        <v>51150</v>
      </c>
      <c r="G122" s="31"/>
      <c r="H122" s="29">
        <f>SUM(H119:H121)</f>
        <v>285269</v>
      </c>
      <c r="I122" s="31"/>
      <c r="J122" s="30"/>
      <c r="O122" s="77"/>
    </row>
    <row r="123" spans="4:17" ht="12.75">
      <c r="D123" s="16"/>
      <c r="E123" s="16"/>
      <c r="F123" s="16"/>
      <c r="G123" s="16"/>
      <c r="H123" s="16"/>
      <c r="I123" s="16"/>
      <c r="J123" s="16"/>
      <c r="K123" s="16"/>
      <c r="L123" s="16"/>
      <c r="Q123" s="16"/>
    </row>
    <row r="124" spans="1:17" ht="18" customHeight="1">
      <c r="A124" s="242" t="s">
        <v>202</v>
      </c>
      <c r="D124" s="16"/>
      <c r="E124" s="16"/>
      <c r="F124" s="16"/>
      <c r="G124" s="16"/>
      <c r="H124" s="16"/>
      <c r="I124" s="16"/>
      <c r="J124" s="16"/>
      <c r="K124" s="16"/>
      <c r="L124" s="16"/>
      <c r="Q124" s="16"/>
    </row>
    <row r="125" spans="1:17" ht="12.75">
      <c r="A125" s="232" t="s">
        <v>185</v>
      </c>
      <c r="D125" s="16"/>
      <c r="E125" s="16"/>
      <c r="F125" s="233"/>
      <c r="G125" s="16"/>
      <c r="H125" s="16"/>
      <c r="I125" s="16"/>
      <c r="J125" s="16"/>
      <c r="K125" s="16"/>
      <c r="L125" s="16"/>
      <c r="Q125" s="16"/>
    </row>
    <row r="126" spans="1:17" ht="12.75">
      <c r="A126" s="233" t="s">
        <v>186</v>
      </c>
      <c r="D126" s="16"/>
      <c r="E126" s="16"/>
      <c r="F126" s="16"/>
      <c r="G126" s="16"/>
      <c r="H126" s="16"/>
      <c r="I126" s="16"/>
      <c r="J126" s="16"/>
      <c r="K126" s="16"/>
      <c r="L126" s="16"/>
      <c r="Q126" s="16"/>
    </row>
    <row r="127" spans="1:17" ht="12.75">
      <c r="A127" s="232"/>
      <c r="D127" s="16"/>
      <c r="E127" s="16"/>
      <c r="F127" s="16"/>
      <c r="G127" s="16"/>
      <c r="H127" s="16"/>
      <c r="I127" s="16"/>
      <c r="J127" s="16"/>
      <c r="K127" s="16"/>
      <c r="L127" s="16"/>
      <c r="Q127" s="16"/>
    </row>
    <row r="128" spans="1:17" ht="12.75">
      <c r="A128" s="233" t="s">
        <v>187</v>
      </c>
      <c r="D128" s="16"/>
      <c r="E128" s="16"/>
      <c r="F128" s="16"/>
      <c r="G128" s="16"/>
      <c r="H128" s="16"/>
      <c r="I128" s="16"/>
      <c r="J128" s="16"/>
      <c r="K128" s="16"/>
      <c r="L128" s="16"/>
      <c r="Q128" s="16"/>
    </row>
    <row r="129" spans="1:17" ht="12.75">
      <c r="A129" s="240" t="s">
        <v>203</v>
      </c>
      <c r="D129" s="16"/>
      <c r="E129" s="16"/>
      <c r="F129" s="16"/>
      <c r="G129" s="16"/>
      <c r="H129" s="16"/>
      <c r="I129" s="16"/>
      <c r="J129" s="16"/>
      <c r="K129" s="16"/>
      <c r="L129" s="16"/>
      <c r="Q129" s="16"/>
    </row>
    <row r="130" spans="1:17" ht="12.75">
      <c r="A130" s="240" t="s">
        <v>196</v>
      </c>
      <c r="D130" s="16"/>
      <c r="E130" s="16"/>
      <c r="F130" s="16"/>
      <c r="G130" s="16"/>
      <c r="H130" s="16"/>
      <c r="I130" s="16"/>
      <c r="J130" s="16"/>
      <c r="K130" s="16"/>
      <c r="L130" s="16"/>
      <c r="Q130" s="16"/>
    </row>
    <row r="131" spans="1:17" ht="12.75">
      <c r="A131" s="240" t="s">
        <v>198</v>
      </c>
      <c r="D131" s="16"/>
      <c r="E131" s="16"/>
      <c r="F131" s="16"/>
      <c r="G131" s="16"/>
      <c r="H131" s="16"/>
      <c r="I131" s="16"/>
      <c r="J131" s="16"/>
      <c r="K131" s="16"/>
      <c r="L131" s="16"/>
      <c r="Q131" s="16"/>
    </row>
    <row r="132" spans="1:17" ht="12.75">
      <c r="A132" s="232"/>
      <c r="D132" s="16"/>
      <c r="E132" s="16"/>
      <c r="F132" s="16"/>
      <c r="G132" s="16"/>
      <c r="H132" s="16"/>
      <c r="I132" s="16"/>
      <c r="J132" s="16"/>
      <c r="K132" s="16"/>
      <c r="L132" s="16"/>
      <c r="Q132" s="16"/>
    </row>
    <row r="133" spans="1:14" ht="15">
      <c r="A133" s="37" t="s">
        <v>123</v>
      </c>
      <c r="D133" s="94"/>
      <c r="E133" s="16"/>
      <c r="F133" s="16"/>
      <c r="G133" s="16"/>
      <c r="H133" s="16"/>
      <c r="I133" s="28"/>
      <c r="J133" s="28"/>
      <c r="K133" s="28"/>
      <c r="L133" s="28"/>
      <c r="M133" s="28"/>
      <c r="N133" s="28"/>
    </row>
    <row r="134" spans="1:14" ht="13.5" thickBot="1">
      <c r="A134" s="6" t="s">
        <v>124</v>
      </c>
      <c r="B134" s="6"/>
      <c r="C134" s="6"/>
      <c r="D134" s="20"/>
      <c r="E134" s="20"/>
      <c r="F134" s="20"/>
      <c r="G134" s="20"/>
      <c r="H134" s="20"/>
      <c r="I134" s="28"/>
      <c r="J134" s="28"/>
      <c r="K134" s="28"/>
      <c r="L134" s="28"/>
      <c r="M134" s="28"/>
      <c r="N134" s="28"/>
    </row>
    <row r="135" spans="4:14" ht="12.75">
      <c r="D135" s="315" t="s">
        <v>8</v>
      </c>
      <c r="E135" s="315"/>
      <c r="F135" s="315"/>
      <c r="G135" s="125"/>
      <c r="H135" s="28" t="s">
        <v>37</v>
      </c>
      <c r="I135" s="28"/>
      <c r="J135" s="28"/>
      <c r="K135" s="28"/>
      <c r="L135" s="66"/>
      <c r="M135" s="28"/>
      <c r="N135" s="28"/>
    </row>
    <row r="136" spans="4:14" ht="12.75">
      <c r="D136" s="309" t="s">
        <v>246</v>
      </c>
      <c r="E136" s="309"/>
      <c r="F136" s="309"/>
      <c r="G136" s="67"/>
      <c r="H136" s="28" t="s">
        <v>6</v>
      </c>
      <c r="I136" s="28"/>
      <c r="J136" s="28"/>
      <c r="K136" s="28"/>
      <c r="L136" s="1"/>
      <c r="M136" s="28"/>
      <c r="N136" s="28"/>
    </row>
    <row r="137" spans="1:12" ht="12.75">
      <c r="A137" s="13" t="s">
        <v>7</v>
      </c>
      <c r="B137" s="12"/>
      <c r="D137" s="56">
        <v>2010</v>
      </c>
      <c r="E137" s="129"/>
      <c r="F137" s="26">
        <v>2009</v>
      </c>
      <c r="G137" s="68"/>
      <c r="H137" s="56">
        <v>2009</v>
      </c>
      <c r="I137" s="28"/>
      <c r="J137" s="84"/>
      <c r="K137" s="28"/>
      <c r="L137" s="28"/>
    </row>
    <row r="138" spans="1:14" ht="12.75">
      <c r="A138" s="65"/>
      <c r="B138" s="5"/>
      <c r="D138" s="314" t="s">
        <v>5</v>
      </c>
      <c r="E138" s="314"/>
      <c r="F138" s="314"/>
      <c r="G138" s="314"/>
      <c r="H138" s="314"/>
      <c r="I138" s="287"/>
      <c r="J138" s="287"/>
      <c r="K138" s="218"/>
      <c r="L138" s="218"/>
      <c r="M138" s="28"/>
      <c r="N138" s="28"/>
    </row>
    <row r="139" spans="1:12" ht="12.75">
      <c r="A139" s="2"/>
      <c r="B139" s="2" t="s">
        <v>125</v>
      </c>
      <c r="C139" s="2"/>
      <c r="D139" s="57">
        <v>538</v>
      </c>
      <c r="E139" s="24"/>
      <c r="F139" s="24">
        <v>50585</v>
      </c>
      <c r="G139" s="24"/>
      <c r="H139" s="57">
        <f>48138+105086+391</f>
        <v>153615</v>
      </c>
      <c r="I139" s="28"/>
      <c r="J139" s="23"/>
      <c r="K139" s="28"/>
      <c r="L139" s="306"/>
    </row>
    <row r="140" spans="1:12" ht="12.75" hidden="1">
      <c r="A140" s="2"/>
      <c r="B140" s="2" t="s">
        <v>126</v>
      </c>
      <c r="C140" s="2"/>
      <c r="D140" s="58">
        <f>H140-0</f>
        <v>0</v>
      </c>
      <c r="E140" s="24"/>
      <c r="F140" s="45">
        <v>0</v>
      </c>
      <c r="G140" s="24"/>
      <c r="H140" s="61">
        <v>0</v>
      </c>
      <c r="I140" s="28"/>
      <c r="J140" s="28"/>
      <c r="K140" s="28"/>
      <c r="L140" s="28"/>
    </row>
    <row r="141" spans="1:12" ht="12.75" hidden="1">
      <c r="A141" s="2"/>
      <c r="B141" s="2" t="s">
        <v>127</v>
      </c>
      <c r="C141" s="2"/>
      <c r="D141" s="58">
        <f>H141-0</f>
        <v>0</v>
      </c>
      <c r="E141" s="22"/>
      <c r="F141" s="22">
        <v>0</v>
      </c>
      <c r="G141" s="22"/>
      <c r="H141" s="58">
        <v>0</v>
      </c>
      <c r="I141" s="28"/>
      <c r="J141" s="28"/>
      <c r="K141" s="28"/>
      <c r="L141" s="28"/>
    </row>
    <row r="142" spans="1:12" ht="12.75">
      <c r="A142" s="4"/>
      <c r="B142" s="4" t="s">
        <v>0</v>
      </c>
      <c r="C142" s="2"/>
      <c r="D142" s="60">
        <f>SUM(D139:D141)</f>
        <v>538</v>
      </c>
      <c r="E142" s="22"/>
      <c r="F142" s="29">
        <f>SUM(F139:F141)</f>
        <v>50585</v>
      </c>
      <c r="G142" s="30"/>
      <c r="H142" s="60">
        <f>SUM(H139:H141)</f>
        <v>153615</v>
      </c>
      <c r="I142" s="28"/>
      <c r="J142" s="30"/>
      <c r="K142" s="28"/>
      <c r="L142" s="28"/>
    </row>
    <row r="143" spans="1:14" ht="12.75">
      <c r="A143" s="32"/>
      <c r="B143" s="32"/>
      <c r="C143" s="32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32"/>
      <c r="B144" s="32"/>
      <c r="C144" s="32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7" ht="15">
      <c r="A145" s="37" t="s">
        <v>122</v>
      </c>
      <c r="B145" s="25"/>
      <c r="C145" s="25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5"/>
      <c r="Q145" s="22"/>
    </row>
    <row r="146" spans="1:17" ht="13.5" thickBot="1">
      <c r="A146" s="6" t="s">
        <v>17</v>
      </c>
      <c r="B146" s="6"/>
      <c r="C146" s="6"/>
      <c r="D146" s="20"/>
      <c r="E146" s="20"/>
      <c r="F146" s="20"/>
      <c r="G146" s="20"/>
      <c r="H146" s="20"/>
      <c r="I146" s="28"/>
      <c r="J146" s="28"/>
      <c r="K146" s="18"/>
      <c r="L146" s="18"/>
      <c r="Q146" s="18"/>
    </row>
    <row r="147" spans="4:17" ht="12.75">
      <c r="D147" s="315" t="s">
        <v>8</v>
      </c>
      <c r="E147" s="315"/>
      <c r="F147" s="315"/>
      <c r="G147" s="125"/>
      <c r="H147" s="28" t="s">
        <v>37</v>
      </c>
      <c r="I147" s="217"/>
      <c r="J147" s="217"/>
      <c r="K147" s="66"/>
      <c r="L147" s="1"/>
      <c r="M147" s="67"/>
      <c r="N147" s="67"/>
      <c r="Q147" s="66"/>
    </row>
    <row r="148" spans="4:17" ht="12.75">
      <c r="D148" s="309" t="s">
        <v>246</v>
      </c>
      <c r="E148" s="309"/>
      <c r="F148" s="309"/>
      <c r="G148" s="67"/>
      <c r="H148" s="28" t="s">
        <v>6</v>
      </c>
      <c r="I148" s="217"/>
      <c r="J148" s="217"/>
      <c r="K148" s="1"/>
      <c r="L148" s="1"/>
      <c r="M148" s="67"/>
      <c r="N148" s="67"/>
      <c r="Q148" s="1"/>
    </row>
    <row r="149" spans="1:15" ht="12.75">
      <c r="A149" s="13" t="s">
        <v>7</v>
      </c>
      <c r="B149" s="12"/>
      <c r="D149" s="56">
        <v>2010</v>
      </c>
      <c r="E149" s="11"/>
      <c r="F149" s="26">
        <v>2009</v>
      </c>
      <c r="G149" s="68"/>
      <c r="H149" s="283">
        <v>2009</v>
      </c>
      <c r="I149" s="68"/>
      <c r="J149" s="84"/>
      <c r="K149" s="84"/>
      <c r="L149" s="84"/>
      <c r="O149" s="77"/>
    </row>
    <row r="150" spans="1:14" ht="12.75">
      <c r="A150" s="65"/>
      <c r="B150" s="5"/>
      <c r="D150" s="311" t="s">
        <v>5</v>
      </c>
      <c r="E150" s="311"/>
      <c r="F150" s="311"/>
      <c r="G150" s="311"/>
      <c r="H150" s="311"/>
      <c r="I150" s="285"/>
      <c r="J150" s="285"/>
      <c r="K150" s="214"/>
      <c r="L150" s="214"/>
      <c r="M150" s="311"/>
      <c r="N150" s="311"/>
    </row>
    <row r="151" spans="1:15" ht="12.75">
      <c r="A151" s="2"/>
      <c r="B151" s="2" t="s">
        <v>18</v>
      </c>
      <c r="C151" s="2"/>
      <c r="D151" s="57">
        <v>-15057</v>
      </c>
      <c r="E151" s="14"/>
      <c r="F151" s="24">
        <v>-19600</v>
      </c>
      <c r="G151" s="24"/>
      <c r="H151" s="24">
        <f>-70169-303</f>
        <v>-70472</v>
      </c>
      <c r="I151" s="17"/>
      <c r="J151" s="23"/>
      <c r="O151" s="77"/>
    </row>
    <row r="152" spans="1:15" ht="12.75">
      <c r="A152" s="2"/>
      <c r="B152" s="2" t="s">
        <v>36</v>
      </c>
      <c r="C152" s="2"/>
      <c r="D152" s="58">
        <v>903</v>
      </c>
      <c r="E152" s="16"/>
      <c r="F152" s="22">
        <v>1532</v>
      </c>
      <c r="G152" s="16"/>
      <c r="H152" s="22">
        <v>6000</v>
      </c>
      <c r="I152" s="18"/>
      <c r="J152" s="28"/>
      <c r="O152" s="77"/>
    </row>
    <row r="153" spans="1:15" ht="12.75">
      <c r="A153" s="2"/>
      <c r="B153" s="2" t="s">
        <v>32</v>
      </c>
      <c r="C153" s="2"/>
      <c r="D153" s="58">
        <v>1755</v>
      </c>
      <c r="E153" s="16"/>
      <c r="F153" s="22">
        <v>7049</v>
      </c>
      <c r="G153" s="16"/>
      <c r="H153" s="22">
        <f>18324+916</f>
        <v>19240</v>
      </c>
      <c r="I153" s="18"/>
      <c r="J153" s="28"/>
      <c r="O153" s="77"/>
    </row>
    <row r="154" spans="1:15" ht="12.75">
      <c r="A154" s="4"/>
      <c r="B154" s="4" t="s">
        <v>0</v>
      </c>
      <c r="C154" s="2"/>
      <c r="D154" s="60">
        <f>SUM(D151:D153)</f>
        <v>-12399</v>
      </c>
      <c r="E154" s="16"/>
      <c r="F154" s="29">
        <f>SUM(F151:F153)</f>
        <v>-11019</v>
      </c>
      <c r="G154" s="31"/>
      <c r="H154" s="29">
        <f>SUM(H151:H153)</f>
        <v>-45232</v>
      </c>
      <c r="I154" s="31"/>
      <c r="J154" s="30"/>
      <c r="O154" s="77"/>
    </row>
    <row r="155" spans="1:17" ht="12.75">
      <c r="A155" s="19" t="s">
        <v>7</v>
      </c>
      <c r="B155" s="19" t="s">
        <v>7</v>
      </c>
      <c r="D155" s="16"/>
      <c r="E155" s="16"/>
      <c r="F155" s="16"/>
      <c r="G155" s="16"/>
      <c r="H155" s="16"/>
      <c r="I155" s="16"/>
      <c r="J155" s="16"/>
      <c r="K155" s="18"/>
      <c r="L155" s="18"/>
      <c r="Q155" s="16"/>
    </row>
    <row r="156" spans="1:17" ht="12.75">
      <c r="A156" s="5"/>
      <c r="B156" s="5"/>
      <c r="D156" s="30"/>
      <c r="E156" s="22"/>
      <c r="F156" s="30"/>
      <c r="G156" s="30"/>
      <c r="H156" s="30"/>
      <c r="I156" s="30"/>
      <c r="J156" s="30"/>
      <c r="K156" s="30"/>
      <c r="L156" s="30"/>
      <c r="M156" s="16"/>
      <c r="N156" s="30"/>
      <c r="O156" s="16"/>
      <c r="P156" s="16"/>
      <c r="Q156" s="16"/>
    </row>
    <row r="157" spans="1:17" ht="15">
      <c r="A157" s="37" t="s">
        <v>136</v>
      </c>
      <c r="B157" s="25"/>
      <c r="C157" s="25"/>
      <c r="D157" s="199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3.5" thickBot="1">
      <c r="A158" s="6" t="s">
        <v>138</v>
      </c>
      <c r="B158" s="6"/>
      <c r="C158" s="6"/>
      <c r="D158" s="20"/>
      <c r="E158" s="20"/>
      <c r="F158" s="51" t="s">
        <v>7</v>
      </c>
      <c r="G158" s="51"/>
      <c r="H158" s="51"/>
      <c r="I158" s="28"/>
      <c r="J158" s="28"/>
      <c r="K158" s="28"/>
      <c r="L158" s="28"/>
      <c r="Q158" s="28"/>
    </row>
    <row r="159" spans="1:17" ht="12.75">
      <c r="A159" s="5"/>
      <c r="B159" s="5"/>
      <c r="C159" s="5"/>
      <c r="D159" s="315" t="s">
        <v>8</v>
      </c>
      <c r="E159" s="315"/>
      <c r="F159" s="315"/>
      <c r="G159" s="125"/>
      <c r="H159" s="1" t="s">
        <v>37</v>
      </c>
      <c r="I159" s="1"/>
      <c r="J159" s="1"/>
      <c r="K159" s="66"/>
      <c r="L159" s="1"/>
      <c r="M159" s="316"/>
      <c r="N159" s="316"/>
      <c r="Q159" s="66"/>
    </row>
    <row r="160" spans="4:17" ht="12.75">
      <c r="D160" s="309" t="s">
        <v>246</v>
      </c>
      <c r="E160" s="309"/>
      <c r="F160" s="309"/>
      <c r="G160" s="67"/>
      <c r="H160" s="1" t="s">
        <v>6</v>
      </c>
      <c r="I160" s="1"/>
      <c r="J160" s="1"/>
      <c r="K160" s="1"/>
      <c r="L160" s="1"/>
      <c r="M160" s="312"/>
      <c r="N160" s="312"/>
      <c r="Q160" s="1"/>
    </row>
    <row r="161" spans="1:17" ht="12.75">
      <c r="A161" s="13" t="s">
        <v>7</v>
      </c>
      <c r="B161" s="12"/>
      <c r="D161" s="56">
        <v>2010</v>
      </c>
      <c r="E161" s="11"/>
      <c r="F161" s="26">
        <v>2009</v>
      </c>
      <c r="G161" s="68"/>
      <c r="H161" s="283">
        <v>2009</v>
      </c>
      <c r="I161" s="114"/>
      <c r="J161" s="68"/>
      <c r="K161" s="68"/>
      <c r="L161" s="84"/>
      <c r="M161" s="84"/>
      <c r="N161" s="68"/>
      <c r="Q161" s="77"/>
    </row>
    <row r="162" spans="1:14" ht="12.75">
      <c r="A162" s="65"/>
      <c r="B162" s="5"/>
      <c r="D162" s="311" t="s">
        <v>5</v>
      </c>
      <c r="E162" s="311"/>
      <c r="F162" s="311"/>
      <c r="G162" s="311"/>
      <c r="H162" s="311"/>
      <c r="I162" s="285"/>
      <c r="J162" s="285"/>
      <c r="K162" s="214"/>
      <c r="L162" s="214"/>
      <c r="M162" s="311"/>
      <c r="N162" s="311"/>
    </row>
    <row r="163" spans="1:17" ht="12.75">
      <c r="A163" s="2"/>
      <c r="B163" s="2" t="s">
        <v>139</v>
      </c>
      <c r="C163" t="s">
        <v>7</v>
      </c>
      <c r="D163" s="140">
        <v>1764</v>
      </c>
      <c r="E163" s="235"/>
      <c r="F163" s="115">
        <v>1044</v>
      </c>
      <c r="G163" s="115"/>
      <c r="H163" s="115">
        <v>7238</v>
      </c>
      <c r="I163" s="286"/>
      <c r="J163" s="111"/>
      <c r="K163" s="41"/>
      <c r="L163" s="111"/>
      <c r="Q163" s="77"/>
    </row>
    <row r="164" spans="1:17" ht="12.75">
      <c r="A164" s="2"/>
      <c r="B164" s="25" t="s">
        <v>92</v>
      </c>
      <c r="D164" s="61">
        <v>0</v>
      </c>
      <c r="E164" s="206"/>
      <c r="F164" s="45">
        <v>0</v>
      </c>
      <c r="G164" s="45"/>
      <c r="H164" s="45">
        <v>3778</v>
      </c>
      <c r="I164" s="88"/>
      <c r="J164" s="53"/>
      <c r="K164" s="45"/>
      <c r="L164" s="53"/>
      <c r="Q164" s="77"/>
    </row>
    <row r="165" spans="1:17" ht="12.75">
      <c r="A165" s="2"/>
      <c r="B165" s="25" t="s">
        <v>137</v>
      </c>
      <c r="D165" s="61">
        <v>3044</v>
      </c>
      <c r="E165" s="2"/>
      <c r="F165" s="45">
        <f>+J165-0</f>
        <v>0</v>
      </c>
      <c r="G165" s="25"/>
      <c r="H165" s="45">
        <v>8671</v>
      </c>
      <c r="I165" s="32"/>
      <c r="J165" s="53"/>
      <c r="K165" s="25"/>
      <c r="L165" s="53"/>
      <c r="Q165" s="77"/>
    </row>
    <row r="166" spans="1:17" ht="12.75">
      <c r="A166" s="2"/>
      <c r="B166" s="25" t="s">
        <v>240</v>
      </c>
      <c r="D166" s="61">
        <v>302</v>
      </c>
      <c r="E166" s="2"/>
      <c r="F166" s="45">
        <f>+J166-0</f>
        <v>0</v>
      </c>
      <c r="G166" s="25"/>
      <c r="H166" s="45">
        <v>3749</v>
      </c>
      <c r="I166" s="32"/>
      <c r="J166" s="53"/>
      <c r="K166" s="25"/>
      <c r="L166" s="53"/>
      <c r="Q166" s="77"/>
    </row>
    <row r="167" spans="1:17" ht="12.75">
      <c r="A167" s="2"/>
      <c r="B167" s="25" t="s">
        <v>31</v>
      </c>
      <c r="C167" s="25"/>
      <c r="D167" s="58">
        <v>744</v>
      </c>
      <c r="E167" s="22"/>
      <c r="F167" s="22">
        <v>14</v>
      </c>
      <c r="G167" s="22"/>
      <c r="H167" s="22">
        <f>470+583</f>
        <v>1053</v>
      </c>
      <c r="I167" s="28"/>
      <c r="J167" s="28"/>
      <c r="K167" s="22"/>
      <c r="L167" s="28"/>
      <c r="N167" s="171" t="s">
        <v>7</v>
      </c>
      <c r="Q167" s="77"/>
    </row>
    <row r="168" spans="1:17" ht="12.75">
      <c r="A168" s="4"/>
      <c r="B168" s="4" t="s">
        <v>0</v>
      </c>
      <c r="C168" s="2"/>
      <c r="D168" s="60">
        <f>SUM(D163:D167)</f>
        <v>5854</v>
      </c>
      <c r="E168" s="16"/>
      <c r="F168" s="29">
        <f>SUM(F163:F167)</f>
        <v>1058</v>
      </c>
      <c r="G168" s="30"/>
      <c r="H168" s="29">
        <f>SUM(H163:H167)</f>
        <v>24489</v>
      </c>
      <c r="I168" s="28"/>
      <c r="J168" s="30"/>
      <c r="K168" s="30"/>
      <c r="L168" s="30"/>
      <c r="Q168" s="77"/>
    </row>
    <row r="169" spans="1:17" ht="12.75">
      <c r="A169" s="5"/>
      <c r="B169" s="5"/>
      <c r="D169" s="30"/>
      <c r="E169" s="22"/>
      <c r="F169" s="30"/>
      <c r="G169" s="30"/>
      <c r="H169" s="201"/>
      <c r="I169" s="16"/>
      <c r="J169" s="30"/>
      <c r="K169" s="30"/>
      <c r="L169" s="30"/>
      <c r="Q169" s="77"/>
    </row>
    <row r="170" spans="1:17" ht="12.75">
      <c r="A170" s="5"/>
      <c r="B170" s="5"/>
      <c r="D170" s="91"/>
      <c r="E170" s="16"/>
      <c r="F170" s="30"/>
      <c r="G170" s="30"/>
      <c r="H170" s="30"/>
      <c r="I170" s="30"/>
      <c r="J170" s="30"/>
      <c r="K170" s="30"/>
      <c r="L170" s="30"/>
      <c r="Q170" s="77"/>
    </row>
    <row r="171" spans="1:17" ht="15">
      <c r="A171" s="37" t="s">
        <v>142</v>
      </c>
      <c r="B171" s="25"/>
      <c r="C171" s="2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3.5" thickBot="1">
      <c r="A172" s="6" t="s">
        <v>141</v>
      </c>
      <c r="B172" s="6"/>
      <c r="C172" s="6"/>
      <c r="D172" s="20"/>
      <c r="E172" s="20"/>
      <c r="F172" s="51" t="s">
        <v>7</v>
      </c>
      <c r="G172" s="51"/>
      <c r="H172" s="51"/>
      <c r="I172" s="28"/>
      <c r="J172" s="28"/>
      <c r="K172" s="28"/>
      <c r="L172" s="28"/>
      <c r="Q172" s="28"/>
    </row>
    <row r="173" spans="1:17" ht="12.75">
      <c r="A173" s="5"/>
      <c r="B173" s="5"/>
      <c r="C173" s="5"/>
      <c r="D173" s="315" t="s">
        <v>8</v>
      </c>
      <c r="E173" s="315"/>
      <c r="F173" s="315"/>
      <c r="G173" s="125"/>
      <c r="H173" s="84" t="s">
        <v>37</v>
      </c>
      <c r="I173" s="84"/>
      <c r="J173" s="84"/>
      <c r="K173" s="66"/>
      <c r="L173" s="1"/>
      <c r="M173" s="316"/>
      <c r="N173" s="316"/>
      <c r="Q173" s="66"/>
    </row>
    <row r="174" spans="4:17" ht="12.75">
      <c r="D174" s="309" t="s">
        <v>246</v>
      </c>
      <c r="E174" s="309"/>
      <c r="F174" s="309"/>
      <c r="G174" s="67"/>
      <c r="H174" s="84" t="s">
        <v>6</v>
      </c>
      <c r="I174" s="84"/>
      <c r="J174" s="84"/>
      <c r="K174" s="1"/>
      <c r="L174" s="1"/>
      <c r="M174" s="312"/>
      <c r="N174" s="312"/>
      <c r="Q174" s="1"/>
    </row>
    <row r="175" spans="1:17" ht="12.75">
      <c r="A175" s="13" t="s">
        <v>7</v>
      </c>
      <c r="B175" s="12"/>
      <c r="D175" s="56">
        <v>2010</v>
      </c>
      <c r="E175" s="11"/>
      <c r="F175" s="26">
        <v>2009</v>
      </c>
      <c r="G175" s="68"/>
      <c r="H175" s="283">
        <v>2009</v>
      </c>
      <c r="I175" s="114"/>
      <c r="J175" s="68"/>
      <c r="K175" s="68"/>
      <c r="L175" s="84"/>
      <c r="M175" s="84"/>
      <c r="N175" s="68"/>
      <c r="Q175" s="77"/>
    </row>
    <row r="176" spans="1:14" ht="12.75">
      <c r="A176" s="65"/>
      <c r="B176" s="5"/>
      <c r="D176" s="311" t="s">
        <v>5</v>
      </c>
      <c r="E176" s="311"/>
      <c r="F176" s="311"/>
      <c r="G176" s="311"/>
      <c r="H176" s="311"/>
      <c r="I176" s="285"/>
      <c r="J176" s="285"/>
      <c r="K176" s="214"/>
      <c r="L176" s="214"/>
      <c r="M176" s="311"/>
      <c r="N176" s="311"/>
    </row>
    <row r="177" spans="1:17" ht="12.75">
      <c r="A177" s="2"/>
      <c r="B177" s="25" t="s">
        <v>269</v>
      </c>
      <c r="D177" s="140">
        <v>0</v>
      </c>
      <c r="E177" s="106"/>
      <c r="F177" s="115">
        <v>0</v>
      </c>
      <c r="G177" s="115"/>
      <c r="H177" s="115">
        <v>-6895</v>
      </c>
      <c r="I177" s="112"/>
      <c r="J177" s="111"/>
      <c r="K177" s="111"/>
      <c r="L177" s="111"/>
      <c r="Q177" s="77"/>
    </row>
    <row r="178" spans="1:17" ht="12.75" hidden="1">
      <c r="A178" s="2"/>
      <c r="B178" s="25" t="s">
        <v>132</v>
      </c>
      <c r="D178" s="61"/>
      <c r="F178" s="45">
        <v>0</v>
      </c>
      <c r="G178" s="25"/>
      <c r="H178" s="45">
        <v>0</v>
      </c>
      <c r="I178" s="5"/>
      <c r="J178" s="53"/>
      <c r="K178" s="111"/>
      <c r="L178" s="111"/>
      <c r="Q178" s="77"/>
    </row>
    <row r="179" spans="1:17" ht="12.75">
      <c r="A179" s="2"/>
      <c r="B179" s="25" t="s">
        <v>31</v>
      </c>
      <c r="C179" s="25"/>
      <c r="D179" s="58">
        <v>-1995</v>
      </c>
      <c r="E179" s="22"/>
      <c r="F179" s="22">
        <v>-1895</v>
      </c>
      <c r="G179" s="22"/>
      <c r="H179" s="22">
        <f>-11117-H177</f>
        <v>-4222</v>
      </c>
      <c r="I179" s="28"/>
      <c r="J179" s="28"/>
      <c r="K179" s="28"/>
      <c r="L179" s="28"/>
      <c r="N179" s="171" t="s">
        <v>7</v>
      </c>
      <c r="Q179" s="77"/>
    </row>
    <row r="180" spans="1:17" ht="12.75">
      <c r="A180" s="4"/>
      <c r="B180" s="4" t="s">
        <v>0</v>
      </c>
      <c r="C180" s="2"/>
      <c r="D180" s="60">
        <f>SUM(D177:D179)</f>
        <v>-1995</v>
      </c>
      <c r="E180" s="16"/>
      <c r="F180" s="29">
        <f>SUM(F177:F179)</f>
        <v>-1895</v>
      </c>
      <c r="G180" s="30"/>
      <c r="H180" s="29">
        <f>SUM(H177:H179)</f>
        <v>-11117</v>
      </c>
      <c r="I180" s="18"/>
      <c r="J180" s="30"/>
      <c r="K180" s="30"/>
      <c r="L180" s="30"/>
      <c r="Q180" s="77"/>
    </row>
    <row r="181" spans="1:17" ht="12.75">
      <c r="A181" s="5"/>
      <c r="B181" s="5"/>
      <c r="D181" s="91"/>
      <c r="E181" s="16"/>
      <c r="F181" s="30"/>
      <c r="G181" s="30"/>
      <c r="H181" s="30"/>
      <c r="I181" s="30"/>
      <c r="J181" s="30"/>
      <c r="K181" s="30"/>
      <c r="L181" s="30"/>
      <c r="Q181" s="77"/>
    </row>
    <row r="182" spans="3:17" ht="12.75">
      <c r="C182" s="85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6"/>
    </row>
    <row r="183" spans="1:17" ht="15">
      <c r="A183" s="37" t="s">
        <v>133</v>
      </c>
      <c r="B183" s="25"/>
      <c r="C183" s="92"/>
      <c r="D183" s="98" t="s">
        <v>7</v>
      </c>
      <c r="E183" s="74"/>
      <c r="F183" s="98" t="s">
        <v>7</v>
      </c>
      <c r="G183" s="22"/>
      <c r="H183" s="22"/>
      <c r="I183" s="22"/>
      <c r="J183" s="22"/>
      <c r="K183" s="16"/>
      <c r="L183" s="16"/>
      <c r="M183" s="16"/>
      <c r="N183" s="16"/>
      <c r="O183" s="16"/>
      <c r="P183" s="16"/>
      <c r="Q183" s="16"/>
    </row>
    <row r="184" spans="1:17" ht="13.5" thickBot="1">
      <c r="A184" s="38" t="s">
        <v>93</v>
      </c>
      <c r="B184" s="38"/>
      <c r="C184" s="38"/>
      <c r="D184" s="51"/>
      <c r="E184" s="51"/>
      <c r="F184" s="51"/>
      <c r="G184" s="51"/>
      <c r="H184" s="51"/>
      <c r="I184" s="22"/>
      <c r="N184" s="22"/>
      <c r="O184" s="16"/>
      <c r="P184" s="16"/>
      <c r="Q184" s="16"/>
    </row>
    <row r="185" spans="1:17" ht="12.75">
      <c r="A185" s="47" t="s">
        <v>7</v>
      </c>
      <c r="B185" s="105"/>
      <c r="C185" s="25"/>
      <c r="D185" s="309" t="s">
        <v>246</v>
      </c>
      <c r="E185" s="309"/>
      <c r="F185" s="309"/>
      <c r="G185" s="28"/>
      <c r="H185" s="288" t="s">
        <v>73</v>
      </c>
      <c r="I185" s="289"/>
      <c r="J185" s="289"/>
      <c r="N185" s="22"/>
      <c r="O185" s="16"/>
      <c r="P185" s="16"/>
      <c r="Q185" s="16"/>
    </row>
    <row r="186" spans="1:17" ht="12.75">
      <c r="A186" s="64"/>
      <c r="B186" s="32"/>
      <c r="C186" s="25"/>
      <c r="D186" s="56">
        <v>2010</v>
      </c>
      <c r="E186" s="11"/>
      <c r="F186" s="26">
        <v>2009</v>
      </c>
      <c r="G186" s="28"/>
      <c r="H186" s="283">
        <v>2009</v>
      </c>
      <c r="I186" s="22"/>
      <c r="N186" s="22"/>
      <c r="O186" s="16"/>
      <c r="P186" s="16"/>
      <c r="Q186" s="16"/>
    </row>
    <row r="187" spans="1:17" ht="12.75">
      <c r="A187" s="64"/>
      <c r="B187" s="32"/>
      <c r="C187" s="25"/>
      <c r="D187" s="317" t="s">
        <v>5</v>
      </c>
      <c r="E187" s="317"/>
      <c r="F187" s="317"/>
      <c r="G187" s="216"/>
      <c r="H187" s="216"/>
      <c r="I187" s="22"/>
      <c r="N187" s="22"/>
      <c r="O187" s="16"/>
      <c r="P187" s="16"/>
      <c r="Q187" s="16"/>
    </row>
    <row r="188" spans="1:17" ht="12.75">
      <c r="A188" s="32"/>
      <c r="B188" s="32" t="s">
        <v>94</v>
      </c>
      <c r="C188" s="32"/>
      <c r="D188" s="140">
        <v>0</v>
      </c>
      <c r="E188" s="22"/>
      <c r="F188" s="115">
        <v>2080</v>
      </c>
      <c r="G188" s="25"/>
      <c r="H188" s="115">
        <v>0</v>
      </c>
      <c r="I188" s="22"/>
      <c r="N188" s="22"/>
      <c r="O188" s="16"/>
      <c r="P188" s="16"/>
      <c r="Q188" s="16"/>
    </row>
    <row r="189" spans="1:17" ht="12.75">
      <c r="A189" s="32"/>
      <c r="B189" s="32" t="s">
        <v>27</v>
      </c>
      <c r="C189" s="32"/>
      <c r="D189" s="59">
        <v>865</v>
      </c>
      <c r="E189" s="28"/>
      <c r="F189" s="28">
        <v>1613</v>
      </c>
      <c r="G189" s="25"/>
      <c r="H189" s="28">
        <v>1044</v>
      </c>
      <c r="I189" s="22"/>
      <c r="N189" s="22"/>
      <c r="O189" s="16"/>
      <c r="P189" s="16"/>
      <c r="Q189" s="16"/>
    </row>
    <row r="190" spans="1:17" ht="12.75">
      <c r="A190" s="32"/>
      <c r="B190" s="32" t="s">
        <v>29</v>
      </c>
      <c r="C190" s="32"/>
      <c r="D190" s="59">
        <v>1323</v>
      </c>
      <c r="E190" s="28"/>
      <c r="F190" s="28">
        <v>1042</v>
      </c>
      <c r="G190" s="25"/>
      <c r="H190" s="28">
        <v>1796</v>
      </c>
      <c r="I190" s="28"/>
      <c r="N190" s="28"/>
      <c r="O190" s="28"/>
      <c r="P190" s="28"/>
      <c r="Q190" s="28"/>
    </row>
    <row r="191" spans="1:17" ht="12.75">
      <c r="A191" s="32"/>
      <c r="B191" s="32" t="s">
        <v>38</v>
      </c>
      <c r="C191" s="32"/>
      <c r="D191" s="59">
        <v>8074</v>
      </c>
      <c r="E191" s="28"/>
      <c r="F191" s="28">
        <v>17569</v>
      </c>
      <c r="G191" s="25"/>
      <c r="H191" s="28">
        <v>8785</v>
      </c>
      <c r="I191" s="28"/>
      <c r="N191" s="28"/>
      <c r="O191" s="28"/>
      <c r="P191" s="28"/>
      <c r="Q191" s="28"/>
    </row>
    <row r="192" spans="1:17" ht="12.75">
      <c r="A192" s="32"/>
      <c r="B192" s="32" t="s">
        <v>61</v>
      </c>
      <c r="C192" s="32"/>
      <c r="D192" s="59">
        <v>43703</v>
      </c>
      <c r="E192" s="28"/>
      <c r="F192" s="28">
        <v>100714</v>
      </c>
      <c r="G192" s="32"/>
      <c r="H192" s="28">
        <v>46925</v>
      </c>
      <c r="I192" s="32"/>
      <c r="N192" s="28"/>
      <c r="O192" s="28"/>
      <c r="P192" s="28"/>
      <c r="Q192" s="32"/>
    </row>
    <row r="193" spans="1:17" ht="12.75">
      <c r="A193" s="32"/>
      <c r="B193" s="32" t="s">
        <v>95</v>
      </c>
      <c r="C193" s="32"/>
      <c r="D193" s="59">
        <v>151408</v>
      </c>
      <c r="E193" s="28"/>
      <c r="F193" s="28">
        <v>35597</v>
      </c>
      <c r="G193" s="32"/>
      <c r="H193" s="28">
        <v>160978</v>
      </c>
      <c r="I193" s="32"/>
      <c r="N193" s="28"/>
      <c r="O193" s="28"/>
      <c r="P193" s="28"/>
      <c r="Q193" s="32"/>
    </row>
    <row r="194" spans="1:17" ht="12.75">
      <c r="A194" s="105"/>
      <c r="B194" s="105" t="s">
        <v>261</v>
      </c>
      <c r="C194" s="25"/>
      <c r="D194" s="229">
        <v>4209</v>
      </c>
      <c r="E194" s="22"/>
      <c r="F194" s="27">
        <v>0</v>
      </c>
      <c r="G194" s="25"/>
      <c r="H194" s="27">
        <v>0</v>
      </c>
      <c r="I194" s="22"/>
      <c r="N194" s="22"/>
      <c r="O194" s="16"/>
      <c r="P194" s="16"/>
      <c r="Q194" s="16"/>
    </row>
    <row r="195" spans="1:17" ht="12.75">
      <c r="A195" s="25"/>
      <c r="B195" s="25" t="s">
        <v>28</v>
      </c>
      <c r="C195" s="25"/>
      <c r="D195" s="58">
        <f>SUM(D188:D194)</f>
        <v>209582</v>
      </c>
      <c r="E195" s="22"/>
      <c r="F195" s="22">
        <f>SUM(F188:F194)</f>
        <v>158615</v>
      </c>
      <c r="G195" s="25"/>
      <c r="H195" s="22">
        <f>SUM(H188:H194)</f>
        <v>219528</v>
      </c>
      <c r="I195" s="22"/>
      <c r="N195" s="22"/>
      <c r="O195" s="16"/>
      <c r="P195" s="16"/>
      <c r="Q195" s="16"/>
    </row>
    <row r="196" spans="1:17" ht="12.75">
      <c r="A196" s="25"/>
      <c r="B196" s="25" t="s">
        <v>30</v>
      </c>
      <c r="C196" s="25"/>
      <c r="D196" s="58">
        <f>111830-16</f>
        <v>111814</v>
      </c>
      <c r="E196" s="22"/>
      <c r="F196" s="22">
        <v>170239</v>
      </c>
      <c r="G196" s="25"/>
      <c r="H196" s="22">
        <f>73708+2</f>
        <v>73710</v>
      </c>
      <c r="I196" s="22"/>
      <c r="N196" s="22"/>
      <c r="O196" s="16"/>
      <c r="P196" s="16"/>
      <c r="Q196" s="16"/>
    </row>
    <row r="197" spans="1:17" ht="12.75">
      <c r="A197" s="113"/>
      <c r="B197" s="113" t="s">
        <v>96</v>
      </c>
      <c r="C197" s="25"/>
      <c r="D197" s="60">
        <f>SUM(D195:D196)</f>
        <v>321396</v>
      </c>
      <c r="E197" s="22"/>
      <c r="F197" s="29">
        <f>SUM(F195:F196)</f>
        <v>328854</v>
      </c>
      <c r="G197" s="95"/>
      <c r="H197" s="29">
        <f>SUM(H195:H196)</f>
        <v>293238</v>
      </c>
      <c r="I197" s="16"/>
      <c r="N197" s="16"/>
      <c r="O197" s="16"/>
      <c r="P197" s="16"/>
      <c r="Q197" s="16"/>
    </row>
    <row r="198" spans="1:17" ht="12.75">
      <c r="A198" s="32"/>
      <c r="B198" s="32"/>
      <c r="C198" s="25"/>
      <c r="D198" s="30"/>
      <c r="E198" s="22"/>
      <c r="F198" s="30"/>
      <c r="G198" s="95"/>
      <c r="H198" s="30"/>
      <c r="I198" s="16"/>
      <c r="N198" s="16"/>
      <c r="O198" s="16"/>
      <c r="P198" s="16"/>
      <c r="Q198" s="16"/>
    </row>
    <row r="199" spans="1:17" ht="12.75">
      <c r="A199" s="32" t="s">
        <v>262</v>
      </c>
      <c r="B199" s="32"/>
      <c r="C199" s="25"/>
      <c r="D199" s="30"/>
      <c r="E199" s="22"/>
      <c r="F199" s="30"/>
      <c r="G199" s="95"/>
      <c r="H199" s="30"/>
      <c r="I199" s="16"/>
      <c r="N199" s="16"/>
      <c r="O199" s="16"/>
      <c r="P199" s="16"/>
      <c r="Q199" s="16"/>
    </row>
    <row r="200" spans="1:17" ht="12.75">
      <c r="A200" s="32" t="s">
        <v>247</v>
      </c>
      <c r="B200" s="32"/>
      <c r="C200" s="25"/>
      <c r="D200" s="30"/>
      <c r="E200" s="22"/>
      <c r="F200" s="30"/>
      <c r="G200" s="95"/>
      <c r="H200" s="30"/>
      <c r="I200" s="16"/>
      <c r="N200" s="16"/>
      <c r="O200" s="16"/>
      <c r="P200" s="16"/>
      <c r="Q200" s="16"/>
    </row>
    <row r="201" spans="4:17" ht="12.75"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8"/>
      <c r="P201" s="18"/>
      <c r="Q201" s="16"/>
    </row>
    <row r="202" spans="1:20" ht="13.5" thickBot="1">
      <c r="A202" s="43" t="s">
        <v>97</v>
      </c>
      <c r="B202" s="38"/>
      <c r="C202" s="38"/>
      <c r="D202" s="20"/>
      <c r="E202" s="20"/>
      <c r="F202" s="51"/>
      <c r="G202" s="51"/>
      <c r="H202" s="51"/>
      <c r="I202" s="28"/>
      <c r="J202" s="28"/>
      <c r="K202" s="28"/>
      <c r="L202" s="28"/>
      <c r="O202" s="22"/>
      <c r="P202" s="22"/>
      <c r="T202" s="16"/>
    </row>
    <row r="203" spans="1:20" ht="12.75">
      <c r="A203" s="5"/>
      <c r="B203" s="5"/>
      <c r="C203" s="5"/>
      <c r="D203" s="315" t="s">
        <v>8</v>
      </c>
      <c r="E203" s="315"/>
      <c r="F203" s="315"/>
      <c r="G203" s="125"/>
      <c r="H203" s="290" t="s">
        <v>37</v>
      </c>
      <c r="I203" s="291"/>
      <c r="J203" s="291"/>
      <c r="K203" s="67"/>
      <c r="L203" s="1"/>
      <c r="O203" s="66"/>
      <c r="P203" s="66"/>
      <c r="T203" s="16"/>
    </row>
    <row r="204" spans="4:20" ht="12.75">
      <c r="D204" s="309" t="s">
        <v>246</v>
      </c>
      <c r="E204" s="309"/>
      <c r="F204" s="309"/>
      <c r="G204" s="67"/>
      <c r="H204" s="288" t="s">
        <v>6</v>
      </c>
      <c r="I204" s="289"/>
      <c r="J204" s="289"/>
      <c r="K204" s="84"/>
      <c r="L204" s="1"/>
      <c r="O204" s="1"/>
      <c r="P204" s="1"/>
      <c r="T204" s="16"/>
    </row>
    <row r="205" spans="1:12" ht="12.75">
      <c r="A205" s="13" t="s">
        <v>7</v>
      </c>
      <c r="B205" s="12"/>
      <c r="D205" s="56">
        <v>2010</v>
      </c>
      <c r="E205" s="11"/>
      <c r="F205" s="26">
        <v>2009</v>
      </c>
      <c r="G205" s="68"/>
      <c r="H205" s="283">
        <v>2009</v>
      </c>
      <c r="I205" s="114"/>
      <c r="J205" s="68"/>
      <c r="K205" s="67"/>
      <c r="L205" s="84"/>
    </row>
    <row r="206" spans="1:12" ht="12.75">
      <c r="A206" s="195" t="s">
        <v>180</v>
      </c>
      <c r="B206" s="5"/>
      <c r="D206" s="310" t="s">
        <v>5</v>
      </c>
      <c r="E206" s="310"/>
      <c r="F206" s="310"/>
      <c r="G206" s="310"/>
      <c r="H206" s="310"/>
      <c r="I206" s="225"/>
      <c r="J206" s="225"/>
      <c r="K206" s="225"/>
      <c r="L206" s="225"/>
    </row>
    <row r="207" spans="1:16" ht="12.75">
      <c r="A207" s="33" t="s">
        <v>33</v>
      </c>
      <c r="B207" s="5"/>
      <c r="D207" s="63"/>
      <c r="E207" s="15"/>
      <c r="F207" s="40"/>
      <c r="G207" s="40"/>
      <c r="H207" s="78"/>
      <c r="I207" s="40"/>
      <c r="J207" s="78"/>
      <c r="K207" s="76"/>
      <c r="L207" s="76"/>
      <c r="P207" s="75"/>
    </row>
    <row r="208" spans="1:15" ht="12.75">
      <c r="A208" s="2"/>
      <c r="B208" s="2" t="s">
        <v>98</v>
      </c>
      <c r="C208" s="2"/>
      <c r="D208" s="57">
        <v>34321</v>
      </c>
      <c r="E208" s="24"/>
      <c r="F208" s="24">
        <v>23441</v>
      </c>
      <c r="G208" s="24"/>
      <c r="H208" s="24">
        <f>H46</f>
        <v>169043</v>
      </c>
      <c r="I208" s="23"/>
      <c r="J208" s="23"/>
      <c r="K208" s="76"/>
      <c r="L208" s="23"/>
      <c r="O208" s="75"/>
    </row>
    <row r="209" spans="1:15" ht="12.75">
      <c r="A209" s="2"/>
      <c r="B209" s="2" t="s">
        <v>99</v>
      </c>
      <c r="C209" s="2"/>
      <c r="D209" s="61">
        <v>42200</v>
      </c>
      <c r="E209" s="22"/>
      <c r="F209" s="45">
        <v>22717</v>
      </c>
      <c r="G209" s="22"/>
      <c r="H209" s="22">
        <f>H47</f>
        <v>181635</v>
      </c>
      <c r="I209" s="28"/>
      <c r="J209" s="28"/>
      <c r="K209" s="76"/>
      <c r="L209" s="28"/>
      <c r="O209" s="75"/>
    </row>
    <row r="210" spans="1:15" ht="12.75">
      <c r="A210" s="2"/>
      <c r="B210" s="2" t="s">
        <v>100</v>
      </c>
      <c r="C210" s="2"/>
      <c r="D210" s="58">
        <f>62545-10457</f>
        <v>52088</v>
      </c>
      <c r="E210" s="22"/>
      <c r="F210" s="22">
        <v>44838</v>
      </c>
      <c r="G210" s="22"/>
      <c r="H210" s="22">
        <f>207840-24781</f>
        <v>183059</v>
      </c>
      <c r="I210" s="28"/>
      <c r="J210" s="28"/>
      <c r="K210" s="76"/>
      <c r="L210" s="28"/>
      <c r="O210" s="75"/>
    </row>
    <row r="211" spans="1:15" ht="12.75">
      <c r="A211" s="2"/>
      <c r="B211" s="2" t="s">
        <v>101</v>
      </c>
      <c r="C211" s="2"/>
      <c r="D211" s="58">
        <v>903</v>
      </c>
      <c r="E211" s="22"/>
      <c r="F211" s="22">
        <v>1532</v>
      </c>
      <c r="G211" s="22"/>
      <c r="H211" s="22">
        <v>6000</v>
      </c>
      <c r="I211" s="28"/>
      <c r="J211" s="28"/>
      <c r="K211" s="76"/>
      <c r="L211" s="28"/>
      <c r="O211" s="75"/>
    </row>
    <row r="212" spans="1:15" ht="12.75">
      <c r="A212" s="2"/>
      <c r="B212" s="2" t="s">
        <v>49</v>
      </c>
      <c r="C212" s="2"/>
      <c r="D212" s="58">
        <v>10457</v>
      </c>
      <c r="E212" s="22"/>
      <c r="F212" s="22">
        <v>3166</v>
      </c>
      <c r="G212" s="22"/>
      <c r="H212" s="22">
        <v>24781</v>
      </c>
      <c r="I212" s="28"/>
      <c r="J212" s="28"/>
      <c r="K212" s="76"/>
      <c r="L212" s="28"/>
      <c r="O212" s="75"/>
    </row>
    <row r="213" spans="1:15" ht="12.75">
      <c r="A213" s="2"/>
      <c r="B213" s="2" t="s">
        <v>102</v>
      </c>
      <c r="C213" s="2"/>
      <c r="D213" s="58">
        <f>31877+2911</f>
        <v>34788</v>
      </c>
      <c r="E213" s="22"/>
      <c r="F213" s="22">
        <v>16066</v>
      </c>
      <c r="G213" s="22"/>
      <c r="H213" s="22">
        <f>10138+128390+13044</f>
        <v>151572</v>
      </c>
      <c r="I213" s="28"/>
      <c r="J213" s="28"/>
      <c r="K213" s="76"/>
      <c r="L213" s="28"/>
      <c r="O213" s="75"/>
    </row>
    <row r="214" spans="1:15" ht="12.75">
      <c r="A214" s="33" t="s">
        <v>104</v>
      </c>
      <c r="B214" s="5"/>
      <c r="D214" s="63"/>
      <c r="E214" s="15"/>
      <c r="F214" s="78"/>
      <c r="G214" s="40"/>
      <c r="H214" s="25"/>
      <c r="I214" s="40"/>
      <c r="J214" s="78"/>
      <c r="K214" s="76"/>
      <c r="L214" s="117"/>
      <c r="O214" s="75"/>
    </row>
    <row r="215" spans="1:15" ht="12.75">
      <c r="A215" s="33"/>
      <c r="B215" s="2" t="s">
        <v>99</v>
      </c>
      <c r="C215" s="2"/>
      <c r="D215" s="142">
        <v>0</v>
      </c>
      <c r="E215" s="141"/>
      <c r="F215" s="24">
        <v>0</v>
      </c>
      <c r="G215" s="141"/>
      <c r="H215" s="141">
        <v>500</v>
      </c>
      <c r="I215" s="28"/>
      <c r="J215" s="146"/>
      <c r="K215" s="76"/>
      <c r="L215" s="117"/>
      <c r="O215" s="75"/>
    </row>
    <row r="216" spans="1:21" ht="12.75">
      <c r="A216" s="2"/>
      <c r="B216" s="2" t="s">
        <v>103</v>
      </c>
      <c r="C216" s="2"/>
      <c r="D216" s="61">
        <v>0</v>
      </c>
      <c r="E216" s="22"/>
      <c r="F216" s="45">
        <v>6</v>
      </c>
      <c r="G216" s="22"/>
      <c r="H216" s="22">
        <v>24</v>
      </c>
      <c r="I216" s="28"/>
      <c r="J216" s="28"/>
      <c r="K216" s="76"/>
      <c r="L216" s="146"/>
      <c r="O216" s="75"/>
      <c r="P216" s="25"/>
      <c r="Q216" s="25"/>
      <c r="R216" s="25"/>
      <c r="S216" s="25"/>
      <c r="T216" s="25"/>
      <c r="U216" s="25"/>
    </row>
    <row r="217" spans="1:21" ht="12.75" hidden="1">
      <c r="A217" s="2"/>
      <c r="B217" s="2" t="s">
        <v>105</v>
      </c>
      <c r="D217" s="58"/>
      <c r="E217" s="22"/>
      <c r="F217" s="22">
        <v>0</v>
      </c>
      <c r="G217" s="22"/>
      <c r="H217" s="22">
        <v>0</v>
      </c>
      <c r="I217" s="28"/>
      <c r="J217" s="28"/>
      <c r="K217" s="76"/>
      <c r="L217" s="28"/>
      <c r="O217" s="75"/>
      <c r="P217" s="25"/>
      <c r="Q217" s="25"/>
      <c r="R217" s="25"/>
      <c r="S217" s="25"/>
      <c r="T217" s="25"/>
      <c r="U217" s="25"/>
    </row>
    <row r="218" spans="1:21" ht="12.75">
      <c r="A218" s="2"/>
      <c r="B218" s="2" t="s">
        <v>102</v>
      </c>
      <c r="C218" s="2"/>
      <c r="D218" s="58">
        <v>-5</v>
      </c>
      <c r="E218" s="22"/>
      <c r="F218" s="22">
        <v>751</v>
      </c>
      <c r="G218" s="22"/>
      <c r="H218" s="22">
        <f>1560+300-21</f>
        <v>1839</v>
      </c>
      <c r="I218" s="28"/>
      <c r="J218" s="28"/>
      <c r="K218" s="76"/>
      <c r="L218" s="28"/>
      <c r="O218" s="75"/>
      <c r="P218" s="25"/>
      <c r="Q218" s="25"/>
      <c r="R218" s="25"/>
      <c r="S218" s="25"/>
      <c r="T218" s="25"/>
      <c r="U218" s="25"/>
    </row>
    <row r="219" spans="1:15" ht="13.5">
      <c r="A219" s="81" t="s">
        <v>106</v>
      </c>
      <c r="B219" s="5"/>
      <c r="D219" s="63"/>
      <c r="E219" s="15"/>
      <c r="F219" s="78"/>
      <c r="G219" s="40"/>
      <c r="H219" s="25"/>
      <c r="I219" s="40"/>
      <c r="J219" s="78"/>
      <c r="K219" s="76"/>
      <c r="L219" s="117"/>
      <c r="O219" s="75"/>
    </row>
    <row r="220" spans="1:15" ht="12.75">
      <c r="A220" s="2"/>
      <c r="B220" s="2" t="s">
        <v>98</v>
      </c>
      <c r="C220" s="2"/>
      <c r="D220" s="230">
        <f>D208</f>
        <v>34321</v>
      </c>
      <c r="E220" s="34"/>
      <c r="F220" s="34">
        <f>F208</f>
        <v>23441</v>
      </c>
      <c r="G220" s="34"/>
      <c r="H220" s="297">
        <f>H208</f>
        <v>169043</v>
      </c>
      <c r="I220" s="30"/>
      <c r="J220" s="30"/>
      <c r="K220" s="143"/>
      <c r="L220" s="30"/>
      <c r="O220" s="75"/>
    </row>
    <row r="221" spans="1:15" ht="12.75">
      <c r="A221" s="2"/>
      <c r="B221" s="2" t="s">
        <v>99</v>
      </c>
      <c r="C221" s="2"/>
      <c r="D221" s="82">
        <f>D209+D215</f>
        <v>42200</v>
      </c>
      <c r="E221" s="83"/>
      <c r="F221" s="83">
        <f>F209</f>
        <v>22717</v>
      </c>
      <c r="G221" s="83"/>
      <c r="H221" s="83">
        <f>H209+H215</f>
        <v>182135</v>
      </c>
      <c r="I221" s="107"/>
      <c r="J221" s="107"/>
      <c r="K221" s="143"/>
      <c r="L221" s="107"/>
      <c r="O221" s="75"/>
    </row>
    <row r="222" spans="1:15" ht="12.75">
      <c r="A222" s="2"/>
      <c r="B222" s="2" t="s">
        <v>107</v>
      </c>
      <c r="C222" s="2"/>
      <c r="D222" s="82">
        <f>D210+D216</f>
        <v>52088</v>
      </c>
      <c r="E222" s="83"/>
      <c r="F222" s="83">
        <f>F210+F216</f>
        <v>44844</v>
      </c>
      <c r="G222" s="83"/>
      <c r="H222" s="83">
        <f>H210+H216</f>
        <v>183083</v>
      </c>
      <c r="I222" s="107"/>
      <c r="J222" s="107"/>
      <c r="K222" s="143"/>
      <c r="L222" s="107"/>
      <c r="O222" s="75"/>
    </row>
    <row r="223" spans="1:15" ht="12.75">
      <c r="A223" s="2"/>
      <c r="B223" s="2" t="s">
        <v>108</v>
      </c>
      <c r="C223" s="2"/>
      <c r="D223" s="82">
        <f>D211</f>
        <v>903</v>
      </c>
      <c r="E223" s="83"/>
      <c r="F223" s="83">
        <f>F211</f>
        <v>1532</v>
      </c>
      <c r="G223" s="83" t="e">
        <f>G211+#REF!</f>
        <v>#REF!</v>
      </c>
      <c r="H223" s="83">
        <f>H211</f>
        <v>6000</v>
      </c>
      <c r="I223" s="107"/>
      <c r="J223" s="107"/>
      <c r="K223" s="143"/>
      <c r="L223" s="107"/>
      <c r="O223" s="75"/>
    </row>
    <row r="224" spans="1:15" ht="12.75">
      <c r="A224" s="5"/>
      <c r="B224" s="5" t="s">
        <v>50</v>
      </c>
      <c r="C224" s="5"/>
      <c r="D224" s="82">
        <f>D212+D217</f>
        <v>10457</v>
      </c>
      <c r="E224" s="107"/>
      <c r="F224" s="107">
        <f>F212+F217</f>
        <v>3166</v>
      </c>
      <c r="G224" s="107"/>
      <c r="H224" s="83">
        <f>H212+H217</f>
        <v>24781</v>
      </c>
      <c r="I224" s="107"/>
      <c r="J224" s="107"/>
      <c r="K224" s="143"/>
      <c r="L224" s="107"/>
      <c r="O224" s="75"/>
    </row>
    <row r="225" spans="1:15" ht="12.75">
      <c r="A225" s="5"/>
      <c r="B225" s="5" t="s">
        <v>109</v>
      </c>
      <c r="C225" s="5"/>
      <c r="D225" s="82">
        <f>D213+D218</f>
        <v>34783</v>
      </c>
      <c r="E225" s="107"/>
      <c r="F225" s="107">
        <f>F213+F218</f>
        <v>16817</v>
      </c>
      <c r="G225" s="107"/>
      <c r="H225" s="83">
        <f>H213+H218</f>
        <v>153411</v>
      </c>
      <c r="I225" s="107"/>
      <c r="J225" s="107"/>
      <c r="K225" s="143"/>
      <c r="L225" s="107"/>
      <c r="O225" s="75"/>
    </row>
    <row r="226" spans="1:15" ht="4.5" customHeight="1">
      <c r="A226" s="5"/>
      <c r="B226" s="32"/>
      <c r="C226" s="32"/>
      <c r="D226" s="107"/>
      <c r="E226" s="107"/>
      <c r="F226" s="107"/>
      <c r="G226" s="107"/>
      <c r="H226" s="228"/>
      <c r="I226" s="107"/>
      <c r="J226" s="107"/>
      <c r="K226" s="143"/>
      <c r="L226" s="107"/>
      <c r="O226" s="75"/>
    </row>
    <row r="227" spans="1:16" ht="12.75">
      <c r="A227" s="42" t="s">
        <v>4</v>
      </c>
      <c r="B227" s="36" t="s">
        <v>197</v>
      </c>
      <c r="C227" s="99"/>
      <c r="D227" s="91"/>
      <c r="E227" s="91"/>
      <c r="F227" s="91"/>
      <c r="G227" s="91"/>
      <c r="H227" s="91"/>
      <c r="I227" s="23"/>
      <c r="J227" s="23"/>
      <c r="K227" s="76"/>
      <c r="L227" s="76"/>
      <c r="O227" s="23"/>
      <c r="P227" s="75"/>
    </row>
    <row r="228" spans="1:20" ht="12.75">
      <c r="A228" s="42" t="s">
        <v>3</v>
      </c>
      <c r="B228" s="36" t="s">
        <v>110</v>
      </c>
      <c r="C228" s="36"/>
      <c r="D228" s="28"/>
      <c r="E228" s="28"/>
      <c r="F228" s="108" t="s">
        <v>7</v>
      </c>
      <c r="G228" s="28"/>
      <c r="H228" s="28"/>
      <c r="I228" s="28"/>
      <c r="J228" s="28"/>
      <c r="N228" s="28"/>
      <c r="O228" s="28"/>
      <c r="P228" s="32"/>
      <c r="T228" s="16"/>
    </row>
    <row r="229" spans="1:20" ht="12.75">
      <c r="A229" s="42" t="s">
        <v>14</v>
      </c>
      <c r="B229" s="36" t="s">
        <v>111</v>
      </c>
      <c r="C229" s="36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2"/>
      <c r="T229" s="16"/>
    </row>
    <row r="230" spans="1:22" ht="12.75">
      <c r="A230" s="42" t="s">
        <v>51</v>
      </c>
      <c r="B230" s="36" t="s">
        <v>52</v>
      </c>
      <c r="C230" s="36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32"/>
      <c r="V230" s="16"/>
    </row>
    <row r="231" spans="1:17" ht="12.75">
      <c r="A231" s="42"/>
      <c r="B231" s="36"/>
      <c r="C231" s="36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2.75">
      <c r="A232" s="170" t="s">
        <v>7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">
      <c r="A233" s="39" t="s">
        <v>149</v>
      </c>
      <c r="B233" s="25"/>
      <c r="D233" s="304"/>
      <c r="H233" s="95" t="s">
        <v>7</v>
      </c>
      <c r="L233" s="22"/>
      <c r="M233" s="22"/>
      <c r="N233" s="22"/>
      <c r="O233" s="22"/>
      <c r="P233" s="22"/>
      <c r="Q233" s="22"/>
    </row>
    <row r="234" spans="1:17" ht="13.5" thickBot="1">
      <c r="A234" s="6" t="s">
        <v>53</v>
      </c>
      <c r="B234" s="6"/>
      <c r="C234" s="6"/>
      <c r="D234" s="80"/>
      <c r="E234" s="51"/>
      <c r="F234" s="51"/>
      <c r="G234" s="51"/>
      <c r="H234" s="51"/>
      <c r="I234" s="28"/>
      <c r="J234" s="28"/>
      <c r="K234" s="28"/>
      <c r="L234" s="28"/>
      <c r="M234" s="88"/>
      <c r="N234" s="88"/>
      <c r="Q234" s="32"/>
    </row>
    <row r="235" spans="1:17" ht="12.75">
      <c r="A235" s="5"/>
      <c r="B235" s="5"/>
      <c r="C235" s="5"/>
      <c r="D235" s="315" t="s">
        <v>8</v>
      </c>
      <c r="E235" s="315"/>
      <c r="F235" s="315"/>
      <c r="G235" s="125"/>
      <c r="H235" s="290" t="s">
        <v>37</v>
      </c>
      <c r="I235" s="291"/>
      <c r="J235" s="291"/>
      <c r="K235" s="66"/>
      <c r="L235" s="1"/>
      <c r="M235" s="316"/>
      <c r="N235" s="316"/>
      <c r="Q235" s="66"/>
    </row>
    <row r="236" spans="4:17" ht="12.75">
      <c r="D236" s="309" t="s">
        <v>246</v>
      </c>
      <c r="E236" s="309"/>
      <c r="F236" s="309"/>
      <c r="G236" s="67"/>
      <c r="H236" s="288" t="s">
        <v>6</v>
      </c>
      <c r="I236" s="289"/>
      <c r="J236" s="289"/>
      <c r="K236" s="1"/>
      <c r="L236" s="1"/>
      <c r="M236" s="312"/>
      <c r="N236" s="312"/>
      <c r="Q236" s="1"/>
    </row>
    <row r="237" spans="1:14" ht="12.75">
      <c r="A237" s="13" t="s">
        <v>7</v>
      </c>
      <c r="B237" s="13"/>
      <c r="D237" s="56">
        <v>2010</v>
      </c>
      <c r="E237" s="11"/>
      <c r="F237" s="26">
        <v>2009</v>
      </c>
      <c r="G237" s="68"/>
      <c r="H237" s="283">
        <v>2009</v>
      </c>
      <c r="I237" s="114"/>
      <c r="J237" s="68"/>
      <c r="K237" s="68"/>
      <c r="L237" s="84"/>
      <c r="M237" s="84"/>
      <c r="N237" s="68"/>
    </row>
    <row r="238" spans="1:14" ht="12.75">
      <c r="A238" s="65"/>
      <c r="B238" s="65"/>
      <c r="D238" s="311" t="s">
        <v>5</v>
      </c>
      <c r="E238" s="311"/>
      <c r="F238" s="311"/>
      <c r="G238" s="311"/>
      <c r="H238" s="311"/>
      <c r="I238" s="225"/>
      <c r="J238" s="225"/>
      <c r="K238" s="214"/>
      <c r="L238" s="214"/>
      <c r="M238" s="311"/>
      <c r="N238" s="311"/>
    </row>
    <row r="239" spans="1:17" ht="12.75">
      <c r="A239" s="2"/>
      <c r="B239" s="2" t="s">
        <v>34</v>
      </c>
      <c r="C239" s="2"/>
      <c r="D239" s="57">
        <v>46503</v>
      </c>
      <c r="E239" s="14"/>
      <c r="F239" s="24">
        <v>91837</v>
      </c>
      <c r="G239" s="24"/>
      <c r="H239" s="24">
        <v>227840</v>
      </c>
      <c r="I239" s="17"/>
      <c r="J239" s="23"/>
      <c r="K239" s="23"/>
      <c r="L239" s="23"/>
      <c r="Q239" s="77"/>
    </row>
    <row r="240" spans="1:17" ht="12.75">
      <c r="A240" s="2"/>
      <c r="B240" s="25" t="s">
        <v>62</v>
      </c>
      <c r="C240" s="2"/>
      <c r="D240" s="58">
        <v>1398</v>
      </c>
      <c r="E240" s="16"/>
      <c r="F240" s="22">
        <v>1828</v>
      </c>
      <c r="G240" s="28"/>
      <c r="H240" s="22">
        <f>150+3150+87</f>
        <v>3387</v>
      </c>
      <c r="I240" s="18"/>
      <c r="J240" s="28"/>
      <c r="K240" s="28"/>
      <c r="L240" s="28"/>
      <c r="Q240" s="77"/>
    </row>
    <row r="241" spans="1:12" ht="12.75">
      <c r="A241" s="4"/>
      <c r="B241" s="4" t="s">
        <v>204</v>
      </c>
      <c r="C241" s="2"/>
      <c r="D241" s="60">
        <f>SUM(D238:D240)</f>
        <v>47901</v>
      </c>
      <c r="E241" s="16"/>
      <c r="F241" s="29">
        <f>SUM(F239:F240)</f>
        <v>93665</v>
      </c>
      <c r="G241" s="30"/>
      <c r="H241" s="29">
        <f>SUM(H239:H240)</f>
        <v>231227</v>
      </c>
      <c r="I241" s="18"/>
      <c r="J241" s="30"/>
      <c r="K241" s="30"/>
      <c r="L241" s="30"/>
    </row>
    <row r="242" spans="1:17" ht="12.75">
      <c r="A242" s="89"/>
      <c r="C242" s="85"/>
      <c r="D242" s="94"/>
      <c r="E242" s="94"/>
      <c r="F242" s="98"/>
      <c r="G242" s="169"/>
      <c r="H242" s="94"/>
      <c r="I242" s="169"/>
      <c r="J242" s="169"/>
      <c r="K242" s="169"/>
      <c r="L242" s="169"/>
      <c r="Q242" s="28"/>
    </row>
    <row r="243" spans="1:16" ht="12.75">
      <c r="A243" s="170" t="s">
        <v>7</v>
      </c>
      <c r="C243" s="5"/>
      <c r="D243" s="50"/>
      <c r="E243" s="52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1:16" ht="15">
      <c r="A244" s="39" t="s">
        <v>134</v>
      </c>
      <c r="C244" s="85"/>
      <c r="D244" s="94"/>
      <c r="E244" s="94"/>
      <c r="F244" s="94"/>
      <c r="G244" s="169"/>
      <c r="H244" s="94"/>
      <c r="I244" s="94"/>
      <c r="J244" s="94"/>
      <c r="K244" s="50"/>
      <c r="L244" s="50"/>
      <c r="M244" s="50"/>
      <c r="N244" s="50"/>
      <c r="O244" s="50"/>
      <c r="P244" s="50"/>
    </row>
    <row r="245" spans="1:16" ht="13.5" thickBot="1">
      <c r="A245" s="38" t="s">
        <v>128</v>
      </c>
      <c r="B245" s="38"/>
      <c r="C245" s="38"/>
      <c r="D245" s="80"/>
      <c r="E245" s="51"/>
      <c r="F245" s="51"/>
      <c r="G245" s="51"/>
      <c r="H245" s="51"/>
      <c r="I245" s="28"/>
      <c r="J245" s="169"/>
      <c r="K245" s="52"/>
      <c r="L245" s="52"/>
      <c r="M245" s="52"/>
      <c r="N245" s="50"/>
      <c r="O245" s="50"/>
      <c r="P245" s="50"/>
    </row>
    <row r="246" spans="1:16" ht="12.75">
      <c r="A246" s="32"/>
      <c r="B246" s="32"/>
      <c r="C246" s="32"/>
      <c r="D246" s="315" t="s">
        <v>8</v>
      </c>
      <c r="E246" s="315"/>
      <c r="F246" s="315"/>
      <c r="G246" s="125"/>
      <c r="H246" s="290" t="s">
        <v>37</v>
      </c>
      <c r="I246" s="291"/>
      <c r="J246" s="291"/>
      <c r="K246" s="52"/>
      <c r="L246" s="67"/>
      <c r="M246" s="52"/>
      <c r="N246" s="50"/>
      <c r="O246" s="50"/>
      <c r="P246" s="50"/>
    </row>
    <row r="247" spans="1:16" ht="12.75">
      <c r="A247" s="25"/>
      <c r="B247" s="25"/>
      <c r="C247" s="25"/>
      <c r="D247" s="309" t="s">
        <v>246</v>
      </c>
      <c r="E247" s="309"/>
      <c r="F247" s="309"/>
      <c r="G247" s="67"/>
      <c r="H247" s="288" t="s">
        <v>6</v>
      </c>
      <c r="I247" s="289"/>
      <c r="J247" s="289"/>
      <c r="K247" s="52"/>
      <c r="L247" s="67"/>
      <c r="M247" s="52"/>
      <c r="N247" s="50"/>
      <c r="O247" s="50"/>
      <c r="P247" s="50"/>
    </row>
    <row r="248" spans="1:16" ht="12.75">
      <c r="A248" s="47" t="s">
        <v>7</v>
      </c>
      <c r="B248" s="47"/>
      <c r="C248" s="25"/>
      <c r="D248" s="56">
        <v>2010</v>
      </c>
      <c r="E248" s="129"/>
      <c r="F248" s="26">
        <v>2009</v>
      </c>
      <c r="G248" s="68"/>
      <c r="H248" s="283">
        <v>2009</v>
      </c>
      <c r="I248" s="114"/>
      <c r="J248" s="68"/>
      <c r="K248" s="52"/>
      <c r="L248" s="84"/>
      <c r="M248" s="52"/>
      <c r="N248" s="50"/>
      <c r="O248" s="50"/>
      <c r="P248" s="50"/>
    </row>
    <row r="249" spans="1:16" ht="12.75">
      <c r="A249" s="64"/>
      <c r="B249" s="64"/>
      <c r="C249" s="25"/>
      <c r="D249" s="313" t="s">
        <v>5</v>
      </c>
      <c r="E249" s="313"/>
      <c r="F249" s="313"/>
      <c r="G249" s="313"/>
      <c r="H249" s="313"/>
      <c r="I249" s="219"/>
      <c r="J249" s="219"/>
      <c r="K249" s="217"/>
      <c r="L249" s="217"/>
      <c r="M249" s="50"/>
      <c r="N249" s="50"/>
      <c r="O249" s="50"/>
      <c r="P249" s="50"/>
    </row>
    <row r="250" spans="1:16" ht="12.75">
      <c r="A250" s="25" t="s">
        <v>129</v>
      </c>
      <c r="C250" s="25"/>
      <c r="D250" s="304"/>
      <c r="I250" s="76"/>
      <c r="J250" s="169"/>
      <c r="K250" s="52"/>
      <c r="L250" s="52"/>
      <c r="M250" s="50"/>
      <c r="N250" s="50"/>
      <c r="O250" s="50"/>
      <c r="P250" s="50"/>
    </row>
    <row r="251" spans="1:17" s="122" customFormat="1" ht="12.75">
      <c r="A251" s="25"/>
      <c r="B251" s="25" t="s">
        <v>130</v>
      </c>
      <c r="C251" s="25"/>
      <c r="D251" s="57">
        <v>-5457</v>
      </c>
      <c r="E251" s="24"/>
      <c r="F251" s="24">
        <v>1654</v>
      </c>
      <c r="G251" s="24"/>
      <c r="H251" s="24">
        <f>3713-4666-3515+2706</f>
        <v>-1762</v>
      </c>
      <c r="I251" s="23"/>
      <c r="J251" s="23"/>
      <c r="K251" s="292"/>
      <c r="L251" s="23"/>
      <c r="M251" s="116"/>
      <c r="N251" s="116"/>
      <c r="O251" s="116"/>
      <c r="P251" s="116"/>
      <c r="Q251" s="25"/>
    </row>
    <row r="252" spans="1:17" s="122" customFormat="1" ht="38.25">
      <c r="A252" s="25"/>
      <c r="B252" s="147" t="s">
        <v>267</v>
      </c>
      <c r="C252" s="25"/>
      <c r="D252" s="58">
        <v>4912</v>
      </c>
      <c r="E252" s="22"/>
      <c r="F252" s="22">
        <v>3704</v>
      </c>
      <c r="G252" s="28"/>
      <c r="H252" s="22">
        <f>7690+4666+4988</f>
        <v>17344</v>
      </c>
      <c r="I252" s="28"/>
      <c r="J252" s="28"/>
      <c r="K252" s="292"/>
      <c r="L252" s="28"/>
      <c r="M252" s="116"/>
      <c r="N252" s="116"/>
      <c r="O252" s="116"/>
      <c r="P252" s="116"/>
      <c r="Q252" s="25"/>
    </row>
    <row r="253" spans="1:16" ht="12.75">
      <c r="A253" s="113"/>
      <c r="B253" s="113" t="s">
        <v>131</v>
      </c>
      <c r="C253" s="25"/>
      <c r="D253" s="60">
        <f>SUM(D251:D252)</f>
        <v>-545</v>
      </c>
      <c r="E253" s="34"/>
      <c r="F253" s="29">
        <f>SUM(F251:F252)</f>
        <v>5358</v>
      </c>
      <c r="G253" s="34"/>
      <c r="H253" s="29">
        <f>SUM(H251:H252)</f>
        <v>15582</v>
      </c>
      <c r="I253" s="23"/>
      <c r="J253" s="30"/>
      <c r="K253" s="52"/>
      <c r="L253" s="30"/>
      <c r="M253" s="50"/>
      <c r="N253" s="50"/>
      <c r="O253" s="50"/>
      <c r="P253" s="50"/>
    </row>
    <row r="254" spans="1:16" ht="12.75">
      <c r="A254" s="19"/>
      <c r="C254" s="5"/>
      <c r="D254" s="50"/>
      <c r="E254" s="52"/>
      <c r="F254" s="294"/>
      <c r="G254" s="50"/>
      <c r="H254" s="298"/>
      <c r="I254" s="52"/>
      <c r="J254" s="293"/>
      <c r="K254" s="52"/>
      <c r="L254" s="52"/>
      <c r="M254" s="50"/>
      <c r="N254" s="50"/>
      <c r="O254" s="50"/>
      <c r="P254" s="50"/>
    </row>
    <row r="255" spans="1:16" ht="12.75">
      <c r="A255" s="25" t="s">
        <v>146</v>
      </c>
      <c r="C255" s="25"/>
      <c r="F255" s="295"/>
      <c r="H255" s="222"/>
      <c r="I255" s="76"/>
      <c r="J255" s="169"/>
      <c r="K255" s="52"/>
      <c r="L255" s="52"/>
      <c r="M255" s="50"/>
      <c r="N255" s="50"/>
      <c r="O255" s="50"/>
      <c r="P255" s="50"/>
    </row>
    <row r="256" spans="1:17" s="122" customFormat="1" ht="12.75">
      <c r="A256" s="25"/>
      <c r="B256" s="25" t="s">
        <v>130</v>
      </c>
      <c r="C256" s="25"/>
      <c r="D256" s="57">
        <f>-689+4301-998</f>
        <v>2614</v>
      </c>
      <c r="E256" s="24"/>
      <c r="F256" s="24">
        <v>1596</v>
      </c>
      <c r="G256" s="24"/>
      <c r="H256" s="24">
        <f>2994-1334-226</f>
        <v>1434</v>
      </c>
      <c r="I256" s="23"/>
      <c r="J256" s="23"/>
      <c r="K256" s="292"/>
      <c r="L256" s="23"/>
      <c r="M256" s="116"/>
      <c r="N256" s="116"/>
      <c r="O256" s="116"/>
      <c r="P256" s="116"/>
      <c r="Q256" s="25"/>
    </row>
    <row r="257" spans="1:17" s="122" customFormat="1" ht="27" customHeight="1">
      <c r="A257" s="25"/>
      <c r="B257" s="147" t="s">
        <v>268</v>
      </c>
      <c r="C257" s="25"/>
      <c r="D257" s="58">
        <f>-971-171+91</f>
        <v>-1051</v>
      </c>
      <c r="E257" s="22"/>
      <c r="F257" s="22">
        <v>0</v>
      </c>
      <c r="G257" s="28"/>
      <c r="H257" s="22">
        <f>-1275-161</f>
        <v>-1436</v>
      </c>
      <c r="I257" s="28"/>
      <c r="J257" s="28"/>
      <c r="K257" s="292"/>
      <c r="L257" s="28"/>
      <c r="M257" s="116"/>
      <c r="N257" s="116"/>
      <c r="O257" s="116"/>
      <c r="P257" s="116"/>
      <c r="Q257" s="25"/>
    </row>
    <row r="258" spans="1:16" ht="12.75">
      <c r="A258" s="113"/>
      <c r="B258" s="113" t="s">
        <v>147</v>
      </c>
      <c r="C258" s="25"/>
      <c r="D258" s="60">
        <f>SUM(D256:D257)</f>
        <v>1563</v>
      </c>
      <c r="E258" s="34"/>
      <c r="F258" s="29">
        <f>SUM(F256:F257)</f>
        <v>1596</v>
      </c>
      <c r="G258" s="34"/>
      <c r="H258" s="29">
        <f>SUM(H256:H257)</f>
        <v>-2</v>
      </c>
      <c r="I258" s="23"/>
      <c r="J258" s="30"/>
      <c r="K258" s="52"/>
      <c r="L258" s="30"/>
      <c r="M258" s="50"/>
      <c r="N258" s="50"/>
      <c r="O258" s="50"/>
      <c r="P258" s="50"/>
    </row>
    <row r="259" spans="1:16" ht="12.75">
      <c r="A259" s="32"/>
      <c r="B259" s="32"/>
      <c r="C259" s="25"/>
      <c r="D259" s="201"/>
      <c r="E259" s="202"/>
      <c r="F259" s="201"/>
      <c r="G259" s="202"/>
      <c r="H259" s="201"/>
      <c r="I259" s="23"/>
      <c r="J259" s="30"/>
      <c r="K259" s="52"/>
      <c r="L259" s="30"/>
      <c r="M259" s="50"/>
      <c r="N259" s="50"/>
      <c r="O259" s="50"/>
      <c r="P259" s="50"/>
    </row>
    <row r="260" spans="1:16" ht="12.75">
      <c r="A260" s="19"/>
      <c r="C260" s="5"/>
      <c r="D260" s="50"/>
      <c r="E260" s="52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1:23" ht="15.75" thickBot="1">
      <c r="A261" s="54" t="s">
        <v>135</v>
      </c>
      <c r="B261" s="38"/>
      <c r="C261" s="6"/>
      <c r="D261" s="204"/>
      <c r="E261" s="51" t="s">
        <v>7</v>
      </c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32"/>
      <c r="R261" s="32"/>
      <c r="S261" s="28"/>
      <c r="T261" s="28"/>
      <c r="W261" s="5"/>
    </row>
    <row r="262" spans="1:23" ht="12.75" customHeight="1">
      <c r="A262" s="44"/>
      <c r="C262" s="5"/>
      <c r="D262" s="21"/>
      <c r="E262" s="21"/>
      <c r="F262" s="15"/>
      <c r="G262" s="15"/>
      <c r="H262" s="15"/>
      <c r="I262" s="15"/>
      <c r="J262" s="15"/>
      <c r="K262" s="15"/>
      <c r="L262" s="15" t="s">
        <v>40</v>
      </c>
      <c r="M262" s="15"/>
      <c r="N262" s="15"/>
      <c r="O262" s="15"/>
      <c r="P262" s="15"/>
      <c r="W262" s="2"/>
    </row>
    <row r="263" spans="3:23" ht="12.75" customHeight="1">
      <c r="C263" s="5"/>
      <c r="D263" s="15" t="s">
        <v>46</v>
      </c>
      <c r="E263" s="15"/>
      <c r="F263" s="21" t="s">
        <v>140</v>
      </c>
      <c r="G263" s="21"/>
      <c r="H263" s="15" t="s">
        <v>10</v>
      </c>
      <c r="I263" s="15"/>
      <c r="J263" s="15" t="s">
        <v>19</v>
      </c>
      <c r="K263" s="15" t="s">
        <v>7</v>
      </c>
      <c r="L263" s="21" t="s">
        <v>41</v>
      </c>
      <c r="M263" s="21"/>
      <c r="N263" s="21"/>
      <c r="O263" s="21"/>
      <c r="P263" s="15"/>
      <c r="W263" s="2"/>
    </row>
    <row r="264" spans="3:23" ht="12.75" customHeight="1">
      <c r="C264" s="5"/>
      <c r="D264" s="69" t="s">
        <v>47</v>
      </c>
      <c r="E264" s="69"/>
      <c r="F264" s="21" t="s">
        <v>39</v>
      </c>
      <c r="G264" s="21"/>
      <c r="H264" s="15" t="s">
        <v>21</v>
      </c>
      <c r="I264" s="15"/>
      <c r="J264" s="15" t="s">
        <v>35</v>
      </c>
      <c r="K264" s="15" t="s">
        <v>7</v>
      </c>
      <c r="L264" s="21" t="s">
        <v>43</v>
      </c>
      <c r="M264" s="21"/>
      <c r="N264" s="21" t="s">
        <v>44</v>
      </c>
      <c r="O264" s="21"/>
      <c r="P264" s="21" t="s">
        <v>11</v>
      </c>
      <c r="W264" s="2"/>
    </row>
    <row r="265" spans="1:16" ht="12.75" customHeight="1">
      <c r="A265" s="200"/>
      <c r="B265" s="105"/>
      <c r="D265" s="118" t="s">
        <v>48</v>
      </c>
      <c r="E265" s="119"/>
      <c r="F265" s="118" t="s">
        <v>48</v>
      </c>
      <c r="G265" s="120"/>
      <c r="H265" s="118" t="s">
        <v>12</v>
      </c>
      <c r="I265" s="119"/>
      <c r="J265" s="118" t="s">
        <v>20</v>
      </c>
      <c r="K265" s="119" t="s">
        <v>7</v>
      </c>
      <c r="L265" s="118" t="s">
        <v>42</v>
      </c>
      <c r="M265" s="119"/>
      <c r="N265" s="118" t="s">
        <v>64</v>
      </c>
      <c r="O265" s="119"/>
      <c r="P265" s="118" t="s">
        <v>13</v>
      </c>
    </row>
    <row r="266" spans="1:23" ht="12.75" customHeight="1">
      <c r="A266" s="144"/>
      <c r="B266" s="144"/>
      <c r="C266" s="5"/>
      <c r="D266" s="310" t="s">
        <v>5</v>
      </c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W266" s="145"/>
    </row>
    <row r="267" spans="1:23" s="122" customFormat="1" ht="12.75">
      <c r="A267" s="32" t="s">
        <v>115</v>
      </c>
      <c r="B267" s="25"/>
      <c r="C267" s="25"/>
      <c r="D267" s="141">
        <v>78208</v>
      </c>
      <c r="E267" s="141"/>
      <c r="F267" s="141">
        <v>-1868</v>
      </c>
      <c r="G267" s="141"/>
      <c r="H267" s="141">
        <v>134658</v>
      </c>
      <c r="I267" s="141"/>
      <c r="J267" s="141">
        <v>963334</v>
      </c>
      <c r="K267" s="141"/>
      <c r="L267" s="141">
        <v>-34662</v>
      </c>
      <c r="M267" s="141"/>
      <c r="N267" s="141">
        <v>10</v>
      </c>
      <c r="O267" s="141"/>
      <c r="P267" s="141">
        <v>1139680</v>
      </c>
      <c r="Q267" s="45"/>
      <c r="R267" s="25"/>
      <c r="S267" s="25"/>
      <c r="T267" s="25"/>
      <c r="U267" s="25"/>
      <c r="V267" s="25"/>
      <c r="W267" s="25"/>
    </row>
    <row r="268" spans="1:23" s="122" customFormat="1" ht="13.5">
      <c r="A268" s="81" t="s">
        <v>116</v>
      </c>
      <c r="B268" s="25"/>
      <c r="C268" s="2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25"/>
      <c r="S268" s="25"/>
      <c r="T268" s="25"/>
      <c r="U268" s="25"/>
      <c r="V268" s="25"/>
      <c r="W268" s="25"/>
    </row>
    <row r="269" spans="2:23" s="122" customFormat="1" ht="12.75">
      <c r="B269" s="25" t="s">
        <v>112</v>
      </c>
      <c r="C269" s="25"/>
      <c r="D269" s="45">
        <v>0</v>
      </c>
      <c r="E269" s="45"/>
      <c r="F269" s="45">
        <v>0</v>
      </c>
      <c r="G269" s="45"/>
      <c r="H269" s="45">
        <v>0</v>
      </c>
      <c r="I269" s="45"/>
      <c r="J269" s="45">
        <v>54164</v>
      </c>
      <c r="K269" s="45"/>
      <c r="L269" s="45">
        <v>5401</v>
      </c>
      <c r="M269" s="45"/>
      <c r="N269" s="45">
        <v>0</v>
      </c>
      <c r="O269" s="45"/>
      <c r="P269" s="45">
        <f>SUM(D269:N269)</f>
        <v>59565</v>
      </c>
      <c r="Q269" s="45"/>
      <c r="R269" s="25"/>
      <c r="S269" s="25"/>
      <c r="T269" s="25"/>
      <c r="U269" s="25"/>
      <c r="V269" s="25"/>
      <c r="W269" s="25"/>
    </row>
    <row r="270" spans="1:23" s="122" customFormat="1" ht="12.75">
      <c r="A270" s="148"/>
      <c r="B270" s="105" t="s">
        <v>45</v>
      </c>
      <c r="C270" s="105"/>
      <c r="D270" s="46">
        <v>0</v>
      </c>
      <c r="E270" s="45"/>
      <c r="F270" s="46">
        <v>0</v>
      </c>
      <c r="G270" s="45"/>
      <c r="H270" s="46">
        <v>3488</v>
      </c>
      <c r="I270" s="45"/>
      <c r="J270" s="46">
        <v>0</v>
      </c>
      <c r="K270" s="45"/>
      <c r="L270" s="46">
        <v>0</v>
      </c>
      <c r="M270" s="45"/>
      <c r="N270" s="46">
        <v>0</v>
      </c>
      <c r="O270" s="45"/>
      <c r="P270" s="46">
        <f>SUM(D270:N270)</f>
        <v>3488</v>
      </c>
      <c r="Q270" s="45"/>
      <c r="R270" s="25"/>
      <c r="S270" s="25"/>
      <c r="T270" s="25"/>
      <c r="U270" s="25"/>
      <c r="V270" s="25"/>
      <c r="W270" s="25"/>
    </row>
    <row r="271" spans="1:23" s="123" customFormat="1" ht="12.75">
      <c r="A271" s="32" t="s">
        <v>117</v>
      </c>
      <c r="B271" s="32"/>
      <c r="C271" s="32"/>
      <c r="D271" s="111">
        <f>SUM(D267:D270)</f>
        <v>78208</v>
      </c>
      <c r="E271" s="111"/>
      <c r="F271" s="111">
        <f>SUM(F267:F270)</f>
        <v>-1868</v>
      </c>
      <c r="G271" s="111"/>
      <c r="H271" s="111">
        <f>SUM(H267:H270)</f>
        <v>138146</v>
      </c>
      <c r="I271" s="111"/>
      <c r="J271" s="111">
        <f>SUM(J267:J270)</f>
        <v>1017498</v>
      </c>
      <c r="K271" s="111"/>
      <c r="L271" s="111">
        <f>SUM(L267:L270)</f>
        <v>-29261</v>
      </c>
      <c r="M271" s="111"/>
      <c r="N271" s="111">
        <f>SUM(N267:N270)</f>
        <v>10</v>
      </c>
      <c r="O271" s="111"/>
      <c r="P271" s="111">
        <f>SUM(P267:P270)</f>
        <v>1202733</v>
      </c>
      <c r="Q271" s="32"/>
      <c r="R271" s="32"/>
      <c r="S271" s="32"/>
      <c r="T271" s="32"/>
      <c r="U271" s="32"/>
      <c r="V271" s="32"/>
      <c r="W271" s="32"/>
    </row>
    <row r="272" spans="1:23" s="122" customFormat="1" ht="13.5">
      <c r="A272" s="81" t="s">
        <v>119</v>
      </c>
      <c r="B272" s="25"/>
      <c r="C272" s="2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25"/>
      <c r="S272" s="25"/>
      <c r="T272" s="25"/>
      <c r="U272" s="25"/>
      <c r="V272" s="25"/>
      <c r="W272" s="25"/>
    </row>
    <row r="273" spans="2:23" s="122" customFormat="1" ht="12.75">
      <c r="B273" s="25" t="s">
        <v>112</v>
      </c>
      <c r="C273" s="25"/>
      <c r="D273" s="45">
        <v>0</v>
      </c>
      <c r="E273" s="45"/>
      <c r="F273" s="45">
        <v>0</v>
      </c>
      <c r="G273" s="45"/>
      <c r="H273" s="45">
        <v>0</v>
      </c>
      <c r="I273" s="45"/>
      <c r="J273" s="45">
        <f>42401-1359</f>
        <v>41042</v>
      </c>
      <c r="K273" s="45"/>
      <c r="L273" s="45">
        <v>10617</v>
      </c>
      <c r="M273" s="45"/>
      <c r="N273" s="45">
        <v>-2</v>
      </c>
      <c r="O273" s="45"/>
      <c r="P273" s="45">
        <f aca="true" t="shared" si="0" ref="P273:P278">SUM(D273:N273)</f>
        <v>51657</v>
      </c>
      <c r="Q273" s="174"/>
      <c r="R273" s="25"/>
      <c r="S273" s="25"/>
      <c r="T273" s="25"/>
      <c r="U273" s="25"/>
      <c r="V273" s="25"/>
      <c r="W273" s="25"/>
    </row>
    <row r="274" spans="2:23" s="122" customFormat="1" ht="12.75">
      <c r="B274" s="25" t="s">
        <v>270</v>
      </c>
      <c r="C274" s="25"/>
      <c r="D274" s="45">
        <v>8375</v>
      </c>
      <c r="E274" s="45"/>
      <c r="F274" s="45">
        <v>0</v>
      </c>
      <c r="G274" s="45"/>
      <c r="H274" s="45">
        <f>90148+935</f>
        <v>91083</v>
      </c>
      <c r="I274" s="45"/>
      <c r="J274" s="45">
        <v>0</v>
      </c>
      <c r="K274" s="45"/>
      <c r="L274" s="45">
        <v>0</v>
      </c>
      <c r="M274" s="45"/>
      <c r="N274" s="45">
        <v>0</v>
      </c>
      <c r="O274" s="45"/>
      <c r="P274" s="45">
        <f t="shared" si="0"/>
        <v>99458</v>
      </c>
      <c r="Q274" s="174"/>
      <c r="R274" s="25"/>
      <c r="S274" s="25"/>
      <c r="T274" s="25"/>
      <c r="U274" s="25"/>
      <c r="V274" s="25"/>
      <c r="W274" s="25"/>
    </row>
    <row r="275" spans="2:23" s="122" customFormat="1" ht="12.75">
      <c r="B275" s="25" t="s">
        <v>271</v>
      </c>
      <c r="C275" s="25"/>
      <c r="D275" s="45">
        <v>0</v>
      </c>
      <c r="E275" s="45"/>
      <c r="F275" s="45">
        <v>1779</v>
      </c>
      <c r="G275" s="45"/>
      <c r="H275" s="45">
        <v>0</v>
      </c>
      <c r="I275" s="45"/>
      <c r="J275" s="45">
        <v>18497</v>
      </c>
      <c r="K275" s="45"/>
      <c r="L275" s="45">
        <v>0</v>
      </c>
      <c r="M275" s="45"/>
      <c r="N275" s="45">
        <v>0</v>
      </c>
      <c r="O275" s="45"/>
      <c r="P275" s="45">
        <f t="shared" si="0"/>
        <v>20276</v>
      </c>
      <c r="Q275" s="45"/>
      <c r="R275" s="25"/>
      <c r="S275" s="25"/>
      <c r="T275" s="25"/>
      <c r="U275" s="25"/>
      <c r="V275" s="25"/>
      <c r="W275" s="25"/>
    </row>
    <row r="276" spans="2:23" s="122" customFormat="1" ht="12.75">
      <c r="B276" s="25" t="s">
        <v>63</v>
      </c>
      <c r="C276" s="32"/>
      <c r="D276" s="45">
        <v>0</v>
      </c>
      <c r="E276" s="45"/>
      <c r="F276" s="45">
        <v>0</v>
      </c>
      <c r="G276" s="45"/>
      <c r="H276" s="45">
        <v>0</v>
      </c>
      <c r="I276" s="45"/>
      <c r="J276" s="45">
        <v>0</v>
      </c>
      <c r="K276" s="45"/>
      <c r="L276" s="45">
        <v>0</v>
      </c>
      <c r="M276" s="45"/>
      <c r="N276" s="45">
        <v>-5</v>
      </c>
      <c r="O276" s="45"/>
      <c r="P276" s="45">
        <f t="shared" si="0"/>
        <v>-5</v>
      </c>
      <c r="Q276" s="45"/>
      <c r="R276" s="25"/>
      <c r="S276" s="25"/>
      <c r="T276" s="25"/>
      <c r="U276" s="25"/>
      <c r="V276" s="25"/>
      <c r="W276" s="25"/>
    </row>
    <row r="277" spans="1:23" s="122" customFormat="1" ht="12.75">
      <c r="A277" s="88"/>
      <c r="B277" s="32" t="s">
        <v>45</v>
      </c>
      <c r="C277" s="32"/>
      <c r="D277" s="53">
        <v>0</v>
      </c>
      <c r="E277" s="53"/>
      <c r="F277" s="53">
        <v>0</v>
      </c>
      <c r="G277" s="53"/>
      <c r="H277" s="53">
        <v>3599</v>
      </c>
      <c r="I277" s="53"/>
      <c r="J277" s="53">
        <v>0</v>
      </c>
      <c r="K277" s="53"/>
      <c r="L277" s="53">
        <v>0</v>
      </c>
      <c r="M277" s="53"/>
      <c r="N277" s="53">
        <v>0</v>
      </c>
      <c r="O277" s="53"/>
      <c r="P277" s="53">
        <f t="shared" si="0"/>
        <v>3599</v>
      </c>
      <c r="Q277" s="53"/>
      <c r="R277" s="25"/>
      <c r="S277" s="25"/>
      <c r="T277" s="25"/>
      <c r="U277" s="25"/>
      <c r="V277" s="25"/>
      <c r="W277" s="25"/>
    </row>
    <row r="278" spans="1:23" s="122" customFormat="1" ht="12.75">
      <c r="A278" s="148"/>
      <c r="B278" s="105" t="s">
        <v>114</v>
      </c>
      <c r="C278" s="105"/>
      <c r="D278" s="46">
        <v>0</v>
      </c>
      <c r="E278" s="45"/>
      <c r="F278" s="46">
        <v>0</v>
      </c>
      <c r="G278" s="45"/>
      <c r="H278" s="46">
        <v>0</v>
      </c>
      <c r="I278" s="45"/>
      <c r="J278" s="46">
        <v>-16</v>
      </c>
      <c r="K278" s="45"/>
      <c r="L278" s="46">
        <v>0</v>
      </c>
      <c r="M278" s="45"/>
      <c r="N278" s="46">
        <v>0</v>
      </c>
      <c r="O278" s="45"/>
      <c r="P278" s="46">
        <f t="shared" si="0"/>
        <v>-16</v>
      </c>
      <c r="Q278" s="45"/>
      <c r="R278" s="25"/>
      <c r="S278" s="25"/>
      <c r="T278" s="25"/>
      <c r="U278" s="25"/>
      <c r="V278" s="25"/>
      <c r="W278" s="25"/>
    </row>
    <row r="279" spans="1:23" s="123" customFormat="1" ht="12.75">
      <c r="A279" s="32" t="s">
        <v>118</v>
      </c>
      <c r="B279" s="32"/>
      <c r="C279" s="32"/>
      <c r="D279" s="111">
        <f>SUM(D271:D278)</f>
        <v>86583</v>
      </c>
      <c r="E279" s="111"/>
      <c r="F279" s="111">
        <f aca="true" t="shared" si="1" ref="F279:O279">SUM(F271:F278)</f>
        <v>-89</v>
      </c>
      <c r="G279" s="111">
        <f t="shared" si="1"/>
        <v>0</v>
      </c>
      <c r="H279" s="111">
        <f t="shared" si="1"/>
        <v>232828</v>
      </c>
      <c r="I279" s="111">
        <f t="shared" si="1"/>
        <v>0</v>
      </c>
      <c r="J279" s="111">
        <f t="shared" si="1"/>
        <v>1077021</v>
      </c>
      <c r="K279" s="111">
        <f t="shared" si="1"/>
        <v>0</v>
      </c>
      <c r="L279" s="111">
        <f t="shared" si="1"/>
        <v>-18644</v>
      </c>
      <c r="M279" s="111">
        <f t="shared" si="1"/>
        <v>0</v>
      </c>
      <c r="N279" s="111">
        <f t="shared" si="1"/>
        <v>3</v>
      </c>
      <c r="O279" s="111">
        <f t="shared" si="1"/>
        <v>0</v>
      </c>
      <c r="P279" s="111">
        <f>SUM(P271:P278)</f>
        <v>1377702</v>
      </c>
      <c r="Q279" s="32"/>
      <c r="R279" s="32"/>
      <c r="S279" s="32"/>
      <c r="T279" s="32"/>
      <c r="U279" s="32"/>
      <c r="V279" s="32"/>
      <c r="W279" s="32"/>
    </row>
    <row r="280" spans="1:23" s="122" customFormat="1" ht="13.5">
      <c r="A280" s="81" t="s">
        <v>162</v>
      </c>
      <c r="B280" s="25"/>
      <c r="C280" s="2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25"/>
      <c r="S280" s="25"/>
      <c r="T280" s="25"/>
      <c r="U280" s="25"/>
      <c r="V280" s="25"/>
      <c r="W280" s="25"/>
    </row>
    <row r="281" spans="2:23" s="122" customFormat="1" ht="12.75">
      <c r="B281" s="25" t="s">
        <v>112</v>
      </c>
      <c r="C281" s="25"/>
      <c r="D281" s="212">
        <v>0</v>
      </c>
      <c r="E281" s="212"/>
      <c r="F281" s="212">
        <v>0</v>
      </c>
      <c r="G281" s="212"/>
      <c r="H281" s="212">
        <v>0</v>
      </c>
      <c r="I281" s="212"/>
      <c r="J281" s="212">
        <f>44337+1615+2795-999</f>
        <v>47748</v>
      </c>
      <c r="K281" s="212"/>
      <c r="L281" s="212">
        <f>-9617+1092</f>
        <v>-8525</v>
      </c>
      <c r="M281" s="212"/>
      <c r="N281" s="212">
        <v>-1</v>
      </c>
      <c r="O281" s="212"/>
      <c r="P281" s="212">
        <f>SUM(D281:N281)</f>
        <v>39222</v>
      </c>
      <c r="Q281" s="45"/>
      <c r="R281" s="25"/>
      <c r="S281" s="25"/>
      <c r="T281" s="25"/>
      <c r="U281" s="25"/>
      <c r="V281" s="25"/>
      <c r="W281" s="25"/>
    </row>
    <row r="282" spans="1:23" s="122" customFormat="1" ht="12.75">
      <c r="A282" s="148"/>
      <c r="B282" s="105" t="s">
        <v>45</v>
      </c>
      <c r="C282" s="105"/>
      <c r="D282" s="46">
        <v>0</v>
      </c>
      <c r="E282" s="45"/>
      <c r="F282" s="46">
        <v>0</v>
      </c>
      <c r="G282" s="45"/>
      <c r="H282" s="46">
        <v>2305</v>
      </c>
      <c r="I282" s="45"/>
      <c r="J282" s="46">
        <v>0</v>
      </c>
      <c r="K282" s="45"/>
      <c r="L282" s="46">
        <v>0</v>
      </c>
      <c r="M282" s="45"/>
      <c r="N282" s="46">
        <v>0</v>
      </c>
      <c r="O282" s="45"/>
      <c r="P282" s="46">
        <f>SUM(D282:N282)</f>
        <v>2305</v>
      </c>
      <c r="Q282" s="45"/>
      <c r="R282" s="25"/>
      <c r="S282" s="25"/>
      <c r="T282" s="25"/>
      <c r="U282" s="25"/>
      <c r="V282" s="25"/>
      <c r="W282" s="25"/>
    </row>
    <row r="283" spans="1:23" s="123" customFormat="1" ht="12.75">
      <c r="A283" s="32" t="s">
        <v>163</v>
      </c>
      <c r="B283" s="32"/>
      <c r="C283" s="32"/>
      <c r="D283" s="111">
        <f>SUM(D279:D282)</f>
        <v>86583</v>
      </c>
      <c r="E283" s="111"/>
      <c r="F283" s="111">
        <f>SUM(F279:F282)</f>
        <v>-89</v>
      </c>
      <c r="G283" s="111"/>
      <c r="H283" s="111">
        <f>SUM(H279:H282)</f>
        <v>235133</v>
      </c>
      <c r="I283" s="111"/>
      <c r="J283" s="111">
        <f>SUM(J279:J282)</f>
        <v>1124769</v>
      </c>
      <c r="K283" s="111"/>
      <c r="L283" s="111">
        <f>SUM(L279:L282)</f>
        <v>-27169</v>
      </c>
      <c r="M283" s="111"/>
      <c r="N283" s="111">
        <f>SUM(N279:N282)</f>
        <v>2</v>
      </c>
      <c r="O283" s="111"/>
      <c r="P283" s="111">
        <f>SUM(P279:P282)</f>
        <v>1419229</v>
      </c>
      <c r="Q283" s="32"/>
      <c r="R283" s="32"/>
      <c r="S283" s="32"/>
      <c r="T283" s="32"/>
      <c r="U283" s="32"/>
      <c r="V283" s="32"/>
      <c r="W283" s="32"/>
    </row>
    <row r="284" spans="1:23" s="123" customFormat="1" ht="13.5">
      <c r="A284" s="81" t="s">
        <v>168</v>
      </c>
      <c r="B284" s="32"/>
      <c r="C284" s="32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32"/>
      <c r="R284" s="32"/>
      <c r="S284" s="32"/>
      <c r="T284" s="32"/>
      <c r="U284" s="32"/>
      <c r="V284" s="32"/>
      <c r="W284" s="32"/>
    </row>
    <row r="285" spans="2:23" s="210" customFormat="1" ht="12.75">
      <c r="B285" s="25" t="s">
        <v>112</v>
      </c>
      <c r="C285" s="25"/>
      <c r="D285" s="45">
        <v>0</v>
      </c>
      <c r="E285" s="45"/>
      <c r="F285" s="45">
        <v>0</v>
      </c>
      <c r="G285" s="45"/>
      <c r="H285" s="45">
        <v>0</v>
      </c>
      <c r="I285" s="45"/>
      <c r="J285" s="45">
        <f>+'[1]IS'!$F$31</f>
        <v>22871</v>
      </c>
      <c r="K285" s="45"/>
      <c r="L285" s="45">
        <f>+'[2]Compr &amp; BS'!$G$16</f>
        <v>3725</v>
      </c>
      <c r="M285" s="45"/>
      <c r="N285" s="45">
        <f>+'[2]Compr &amp; BS'!$G$18</f>
        <v>2097</v>
      </c>
      <c r="O285" s="45"/>
      <c r="P285" s="45">
        <f>SUM(D285:N285)</f>
        <v>28693</v>
      </c>
      <c r="Q285" s="213"/>
      <c r="R285" s="211"/>
      <c r="S285" s="211"/>
      <c r="T285" s="211"/>
      <c r="U285" s="211"/>
      <c r="V285" s="211"/>
      <c r="W285" s="211"/>
    </row>
    <row r="286" spans="2:23" s="210" customFormat="1" ht="12.75">
      <c r="B286" s="25" t="s">
        <v>63</v>
      </c>
      <c r="C286" s="25"/>
      <c r="D286" s="45">
        <v>0</v>
      </c>
      <c r="E286" s="45"/>
      <c r="F286" s="45">
        <v>0</v>
      </c>
      <c r="G286" s="45"/>
      <c r="H286" s="45">
        <v>0</v>
      </c>
      <c r="I286" s="45"/>
      <c r="J286" s="45">
        <v>0</v>
      </c>
      <c r="K286" s="45"/>
      <c r="L286" s="45">
        <v>0</v>
      </c>
      <c r="M286" s="45"/>
      <c r="N286" s="45">
        <f>-2099+805</f>
        <v>-1294</v>
      </c>
      <c r="O286" s="45"/>
      <c r="P286" s="45">
        <f>SUM(D286:N286)</f>
        <v>-1294</v>
      </c>
      <c r="Q286" s="213"/>
      <c r="R286" s="211"/>
      <c r="S286" s="211"/>
      <c r="T286" s="211"/>
      <c r="U286" s="211"/>
      <c r="V286" s="211"/>
      <c r="W286" s="211"/>
    </row>
    <row r="287" spans="2:23" s="210" customFormat="1" ht="12.75">
      <c r="B287" s="32" t="s">
        <v>113</v>
      </c>
      <c r="C287" s="25"/>
      <c r="D287" s="45">
        <v>0</v>
      </c>
      <c r="E287" s="45"/>
      <c r="F287" s="45">
        <v>89</v>
      </c>
      <c r="G287" s="45"/>
      <c r="H287" s="45">
        <v>0</v>
      </c>
      <c r="I287" s="45"/>
      <c r="J287" s="45">
        <v>-89</v>
      </c>
      <c r="K287" s="45"/>
      <c r="L287" s="45">
        <v>0</v>
      </c>
      <c r="M287" s="45"/>
      <c r="N287" s="45">
        <v>0</v>
      </c>
      <c r="O287" s="45"/>
      <c r="P287" s="45">
        <f>SUM(D287:N287)</f>
        <v>0</v>
      </c>
      <c r="Q287" s="213"/>
      <c r="R287" s="211"/>
      <c r="S287" s="211"/>
      <c r="T287" s="211"/>
      <c r="U287" s="211"/>
      <c r="V287" s="211"/>
      <c r="W287" s="211"/>
    </row>
    <row r="288" spans="1:23" s="208" customFormat="1" ht="12.75">
      <c r="A288" s="296"/>
      <c r="B288" s="105" t="s">
        <v>45</v>
      </c>
      <c r="C288" s="105"/>
      <c r="D288" s="46">
        <v>0</v>
      </c>
      <c r="E288" s="45"/>
      <c r="F288" s="46">
        <v>0</v>
      </c>
      <c r="G288" s="45"/>
      <c r="H288" s="46">
        <f>11801-H282-H277-H270</f>
        <v>2409</v>
      </c>
      <c r="I288" s="45"/>
      <c r="J288" s="46">
        <v>0</v>
      </c>
      <c r="K288" s="45"/>
      <c r="L288" s="46">
        <v>0</v>
      </c>
      <c r="M288" s="45"/>
      <c r="N288" s="46">
        <v>0</v>
      </c>
      <c r="O288" s="45"/>
      <c r="P288" s="46">
        <f>SUM(D288:N288)</f>
        <v>2409</v>
      </c>
      <c r="Q288" s="53"/>
      <c r="R288" s="25"/>
      <c r="S288" s="25"/>
      <c r="T288" s="25"/>
      <c r="U288" s="25"/>
      <c r="V288" s="25"/>
      <c r="W288" s="25"/>
    </row>
    <row r="289" spans="1:23" s="208" customFormat="1" ht="12.75">
      <c r="A289" s="32" t="s">
        <v>169</v>
      </c>
      <c r="B289" s="32"/>
      <c r="C289" s="32"/>
      <c r="D289" s="111">
        <f>SUM(D283:D288)</f>
        <v>86583</v>
      </c>
      <c r="E289" s="111"/>
      <c r="F289" s="111">
        <f>SUM(F283:F288)</f>
        <v>0</v>
      </c>
      <c r="G289" s="111"/>
      <c r="H289" s="111">
        <f>SUM(H283:H288)</f>
        <v>237542</v>
      </c>
      <c r="I289" s="111"/>
      <c r="J289" s="111">
        <f>SUM(J283:J288)</f>
        <v>1147551</v>
      </c>
      <c r="K289" s="111"/>
      <c r="L289" s="111">
        <f>SUM(L283:L288)</f>
        <v>-23444</v>
      </c>
      <c r="M289" s="111"/>
      <c r="N289" s="111">
        <f>SUM(N283:N288)</f>
        <v>805</v>
      </c>
      <c r="O289" s="111"/>
      <c r="P289" s="111">
        <f>SUM(P283:P288)</f>
        <v>1449037</v>
      </c>
      <c r="Q289" s="53"/>
      <c r="R289" s="25"/>
      <c r="S289" s="25"/>
      <c r="T289" s="25"/>
      <c r="U289" s="25"/>
      <c r="V289" s="25"/>
      <c r="W289" s="25"/>
    </row>
    <row r="290" spans="1:23" s="208" customFormat="1" ht="13.5">
      <c r="A290" s="81" t="s">
        <v>250</v>
      </c>
      <c r="B290" s="32"/>
      <c r="C290" s="32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53"/>
      <c r="R290" s="25"/>
      <c r="S290" s="25"/>
      <c r="T290" s="25"/>
      <c r="U290" s="25"/>
      <c r="V290" s="25"/>
      <c r="W290" s="25"/>
    </row>
    <row r="291" spans="1:23" s="208" customFormat="1" ht="12.75">
      <c r="A291" s="207"/>
      <c r="B291" s="25" t="s">
        <v>112</v>
      </c>
      <c r="C291" s="32"/>
      <c r="D291" s="53">
        <v>0</v>
      </c>
      <c r="E291" s="53"/>
      <c r="F291" s="53">
        <v>0</v>
      </c>
      <c r="G291" s="53"/>
      <c r="H291" s="53">
        <v>0</v>
      </c>
      <c r="I291" s="53"/>
      <c r="J291" s="53">
        <f>13794+2394</f>
        <v>16188</v>
      </c>
      <c r="K291" s="53"/>
      <c r="L291" s="53">
        <f>1563-544-23+7-40-30-1+469</f>
        <v>1401</v>
      </c>
      <c r="M291" s="53"/>
      <c r="N291" s="53">
        <v>67</v>
      </c>
      <c r="O291" s="53"/>
      <c r="P291" s="45">
        <f>SUM(D291:N291)</f>
        <v>17656</v>
      </c>
      <c r="Q291" s="53"/>
      <c r="R291" s="25"/>
      <c r="S291" s="25"/>
      <c r="T291" s="25"/>
      <c r="U291" s="25"/>
      <c r="V291" s="25"/>
      <c r="W291" s="25"/>
    </row>
    <row r="292" spans="1:23" s="208" customFormat="1" ht="12.75">
      <c r="A292" s="207"/>
      <c r="B292" s="25" t="s">
        <v>63</v>
      </c>
      <c r="C292" s="32"/>
      <c r="D292" s="53">
        <v>0</v>
      </c>
      <c r="E292" s="53"/>
      <c r="F292" s="53">
        <v>0</v>
      </c>
      <c r="G292" s="53"/>
      <c r="H292" s="53">
        <v>0</v>
      </c>
      <c r="I292" s="53"/>
      <c r="J292" s="53">
        <v>0</v>
      </c>
      <c r="K292" s="53"/>
      <c r="L292" s="53">
        <v>0</v>
      </c>
      <c r="M292" s="53"/>
      <c r="N292" s="53">
        <v>-860</v>
      </c>
      <c r="O292" s="53"/>
      <c r="P292" s="45">
        <f>SUM(D292:N292)</f>
        <v>-860</v>
      </c>
      <c r="Q292" s="53"/>
      <c r="R292" s="25"/>
      <c r="S292" s="25"/>
      <c r="T292" s="25"/>
      <c r="U292" s="25"/>
      <c r="V292" s="25"/>
      <c r="W292" s="25"/>
    </row>
    <row r="293" spans="1:23" s="208" customFormat="1" ht="12.75" hidden="1">
      <c r="A293" s="207"/>
      <c r="B293" s="32" t="s">
        <v>113</v>
      </c>
      <c r="C293" s="32"/>
      <c r="D293" s="53">
        <v>0</v>
      </c>
      <c r="E293" s="53"/>
      <c r="F293" s="53">
        <v>0</v>
      </c>
      <c r="G293" s="53"/>
      <c r="H293" s="53">
        <v>0</v>
      </c>
      <c r="I293" s="53"/>
      <c r="J293" s="53"/>
      <c r="K293" s="53"/>
      <c r="L293" s="53"/>
      <c r="M293" s="53"/>
      <c r="N293" s="53"/>
      <c r="O293" s="53"/>
      <c r="P293" s="45">
        <f>SUM(D293:N293)</f>
        <v>0</v>
      </c>
      <c r="Q293" s="53"/>
      <c r="R293" s="25"/>
      <c r="S293" s="25"/>
      <c r="T293" s="25"/>
      <c r="U293" s="25"/>
      <c r="V293" s="25"/>
      <c r="W293" s="25"/>
    </row>
    <row r="294" spans="1:23" s="208" customFormat="1" ht="12.75">
      <c r="A294" s="207"/>
      <c r="B294" s="105" t="s">
        <v>45</v>
      </c>
      <c r="C294" s="32"/>
      <c r="D294" s="53">
        <v>0</v>
      </c>
      <c r="E294" s="53"/>
      <c r="F294" s="53">
        <v>0</v>
      </c>
      <c r="G294" s="53"/>
      <c r="H294" s="53">
        <v>1096</v>
      </c>
      <c r="I294" s="53"/>
      <c r="J294" s="53">
        <v>0</v>
      </c>
      <c r="K294" s="53"/>
      <c r="L294" s="53">
        <v>0</v>
      </c>
      <c r="M294" s="53"/>
      <c r="N294" s="53">
        <v>0</v>
      </c>
      <c r="O294" s="53"/>
      <c r="P294" s="45">
        <f>SUM(D294:N294)</f>
        <v>1096</v>
      </c>
      <c r="Q294" s="53"/>
      <c r="R294" s="25"/>
      <c r="S294" s="25"/>
      <c r="T294" s="25"/>
      <c r="U294" s="25"/>
      <c r="V294" s="25"/>
      <c r="W294" s="25"/>
    </row>
    <row r="295" spans="1:23" s="150" customFormat="1" ht="12.75">
      <c r="A295" s="172" t="s">
        <v>248</v>
      </c>
      <c r="B295" s="172"/>
      <c r="C295" s="149"/>
      <c r="D295" s="173">
        <f>SUM(D289:D294)</f>
        <v>86583</v>
      </c>
      <c r="E295" s="102"/>
      <c r="F295" s="173">
        <f>SUM(F289:F294)</f>
        <v>0</v>
      </c>
      <c r="G295" s="102"/>
      <c r="H295" s="173">
        <f>SUM(H289:H294)</f>
        <v>238638</v>
      </c>
      <c r="I295" s="102"/>
      <c r="J295" s="173">
        <f>SUM(J289:J294)</f>
        <v>1163739</v>
      </c>
      <c r="K295" s="102"/>
      <c r="L295" s="173">
        <f>SUM(L289:L294)</f>
        <v>-22043</v>
      </c>
      <c r="M295" s="102"/>
      <c r="N295" s="173">
        <f>SUM(N289:N294)</f>
        <v>12</v>
      </c>
      <c r="O295" s="102"/>
      <c r="P295" s="173">
        <f>SUM(P289:P294)</f>
        <v>1466929</v>
      </c>
      <c r="Q295" s="149"/>
      <c r="R295" s="149"/>
      <c r="S295" s="149"/>
      <c r="T295" s="149"/>
      <c r="U295" s="149"/>
      <c r="V295" s="149"/>
      <c r="W295" s="149"/>
    </row>
    <row r="296" spans="1:20" ht="12.75">
      <c r="A296" s="2" t="s">
        <v>4</v>
      </c>
      <c r="B296" s="2" t="s">
        <v>143</v>
      </c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7"/>
      <c r="O296" s="97"/>
      <c r="P296" s="97"/>
      <c r="Q296" s="238"/>
      <c r="R296" s="239"/>
      <c r="S296" s="122"/>
      <c r="T296" s="122"/>
    </row>
    <row r="297" spans="1:17" ht="12.75">
      <c r="A297" s="2" t="s">
        <v>3</v>
      </c>
      <c r="B297" s="2" t="s">
        <v>144</v>
      </c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7"/>
      <c r="O297" s="97"/>
      <c r="P297" s="97"/>
      <c r="Q297" s="79"/>
    </row>
    <row r="298" spans="4:17" ht="12.75"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7"/>
      <c r="O298" s="97"/>
      <c r="P298" s="97"/>
      <c r="Q298" s="79"/>
    </row>
    <row r="299" spans="1:17" ht="12.75">
      <c r="A299" s="170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5">
      <c r="A300" s="44" t="s">
        <v>148</v>
      </c>
      <c r="D300" s="303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6" ht="13.5" thickBot="1">
      <c r="A301" s="6" t="s">
        <v>23</v>
      </c>
      <c r="B301" s="6"/>
      <c r="C301" s="6"/>
      <c r="D301" s="20"/>
      <c r="E301" s="20"/>
      <c r="F301" s="20"/>
      <c r="G301" s="20"/>
      <c r="H301" s="20"/>
      <c r="I301" s="18"/>
      <c r="J301" s="18"/>
      <c r="K301" s="18"/>
      <c r="M301" s="16"/>
      <c r="P301" s="16"/>
    </row>
    <row r="302" spans="4:16" ht="12.75">
      <c r="D302" s="309" t="s">
        <v>249</v>
      </c>
      <c r="E302" s="309"/>
      <c r="F302" s="309"/>
      <c r="G302" s="1"/>
      <c r="H302" s="288" t="s">
        <v>6</v>
      </c>
      <c r="I302" s="289"/>
      <c r="J302" s="289"/>
      <c r="K302" s="32"/>
      <c r="L302" s="122"/>
      <c r="M302" s="122"/>
      <c r="N302" s="25"/>
      <c r="O302" s="25"/>
      <c r="P302" s="22"/>
    </row>
    <row r="303" spans="1:16" ht="12.75">
      <c r="A303" s="13" t="s">
        <v>7</v>
      </c>
      <c r="B303" s="13"/>
      <c r="D303" s="56">
        <v>2010</v>
      </c>
      <c r="E303" s="11"/>
      <c r="F303" s="26">
        <v>2009</v>
      </c>
      <c r="G303" s="68"/>
      <c r="H303" s="283">
        <v>2009</v>
      </c>
      <c r="I303" s="28"/>
      <c r="J303" s="68"/>
      <c r="K303" s="32"/>
      <c r="L303" s="122"/>
      <c r="M303" s="122"/>
      <c r="N303" s="25"/>
      <c r="O303" s="25"/>
      <c r="P303" s="22"/>
    </row>
    <row r="304" spans="1:17" ht="12.75">
      <c r="A304" s="65"/>
      <c r="B304" s="65"/>
      <c r="D304" s="319" t="s">
        <v>5</v>
      </c>
      <c r="E304" s="319"/>
      <c r="F304" s="319"/>
      <c r="G304" s="16"/>
      <c r="H304" s="16"/>
      <c r="I304" s="5"/>
      <c r="J304" s="32"/>
      <c r="K304" s="32"/>
      <c r="L304" s="32"/>
      <c r="M304" s="122"/>
      <c r="N304" s="122"/>
      <c r="O304" s="25"/>
      <c r="P304" s="25"/>
      <c r="Q304" s="22"/>
    </row>
    <row r="305" spans="1:16" ht="12.75">
      <c r="A305" s="2"/>
      <c r="B305" s="2" t="s">
        <v>22</v>
      </c>
      <c r="C305" s="2"/>
      <c r="D305" s="58">
        <f>356048-5456</f>
        <v>350592</v>
      </c>
      <c r="E305" s="16"/>
      <c r="F305" s="141">
        <v>101744</v>
      </c>
      <c r="G305" s="22"/>
      <c r="H305" s="22">
        <v>125961</v>
      </c>
      <c r="I305" s="28"/>
      <c r="J305" s="123"/>
      <c r="K305" s="32"/>
      <c r="L305" s="122"/>
      <c r="M305" s="122"/>
      <c r="N305" s="25"/>
      <c r="O305" s="25"/>
      <c r="P305" s="22"/>
    </row>
    <row r="306" spans="1:16" ht="12.75">
      <c r="A306" s="2"/>
      <c r="B306" s="2" t="s">
        <v>26</v>
      </c>
      <c r="C306" s="2"/>
      <c r="D306" s="58">
        <f>15917+10014+5456</f>
        <v>31387</v>
      </c>
      <c r="E306" s="16"/>
      <c r="F306" s="22">
        <v>22389</v>
      </c>
      <c r="G306" s="22"/>
      <c r="H306" s="22">
        <f>7977+10014</f>
        <v>17991</v>
      </c>
      <c r="I306" s="28"/>
      <c r="J306" s="123"/>
      <c r="K306" s="32"/>
      <c r="L306" s="122"/>
      <c r="M306" s="122"/>
      <c r="N306" s="25"/>
      <c r="O306" s="25"/>
      <c r="P306" s="22"/>
    </row>
    <row r="307" spans="1:16" ht="12.75">
      <c r="A307" s="2"/>
      <c r="B307" s="2" t="s">
        <v>24</v>
      </c>
      <c r="C307" s="2"/>
      <c r="D307" s="58">
        <v>-26109</v>
      </c>
      <c r="E307" s="16"/>
      <c r="F307" s="22">
        <v>-37811</v>
      </c>
      <c r="G307" s="22"/>
      <c r="H307" s="22">
        <v>-26109</v>
      </c>
      <c r="I307" s="28"/>
      <c r="J307" s="123"/>
      <c r="K307" s="32"/>
      <c r="L307" s="122"/>
      <c r="M307" s="122"/>
      <c r="N307" s="25"/>
      <c r="O307" s="25"/>
      <c r="P307" s="22"/>
    </row>
    <row r="308" spans="1:16" ht="12.75">
      <c r="A308" s="2"/>
      <c r="B308" s="2" t="s">
        <v>25</v>
      </c>
      <c r="C308" s="2"/>
      <c r="D308" s="58">
        <v>-234</v>
      </c>
      <c r="E308" s="16"/>
      <c r="F308" s="22">
        <v>-3769</v>
      </c>
      <c r="G308" s="22"/>
      <c r="H308" s="22">
        <v>-348</v>
      </c>
      <c r="I308" s="28"/>
      <c r="J308" s="123"/>
      <c r="K308" s="32"/>
      <c r="L308" s="122"/>
      <c r="M308" s="122"/>
      <c r="N308" s="25"/>
      <c r="O308" s="25"/>
      <c r="P308" s="22"/>
    </row>
    <row r="309" spans="1:16" ht="12.75">
      <c r="A309" s="2"/>
      <c r="B309" s="2" t="s">
        <v>54</v>
      </c>
      <c r="C309" s="2"/>
      <c r="D309" s="58">
        <v>-885110</v>
      </c>
      <c r="E309" s="16"/>
      <c r="F309" s="22">
        <v>-1212052</v>
      </c>
      <c r="G309" s="22"/>
      <c r="H309" s="22">
        <v>-882580</v>
      </c>
      <c r="I309" s="28"/>
      <c r="J309" s="123"/>
      <c r="K309" s="32"/>
      <c r="L309" s="122"/>
      <c r="M309" s="122"/>
      <c r="N309" s="25"/>
      <c r="O309" s="25"/>
      <c r="P309" s="22"/>
    </row>
    <row r="310" spans="1:16" ht="12.75">
      <c r="A310" s="2"/>
      <c r="B310" s="2" t="s">
        <v>55</v>
      </c>
      <c r="C310" s="2"/>
      <c r="D310" s="58">
        <v>-7891</v>
      </c>
      <c r="E310" s="16"/>
      <c r="F310" s="22">
        <v>-12011</v>
      </c>
      <c r="G310" s="22"/>
      <c r="H310" s="22">
        <v>-8954</v>
      </c>
      <c r="I310" s="28"/>
      <c r="J310" s="123"/>
      <c r="K310" s="32"/>
      <c r="L310" s="122"/>
      <c r="M310" s="122"/>
      <c r="N310" s="25"/>
      <c r="O310" s="25"/>
      <c r="P310" s="22"/>
    </row>
    <row r="311" spans="1:16" ht="12.75">
      <c r="A311" s="4"/>
      <c r="B311" s="4" t="s">
        <v>0</v>
      </c>
      <c r="C311" s="2"/>
      <c r="D311" s="60">
        <f>SUM(D305:D310)</f>
        <v>-537365</v>
      </c>
      <c r="E311" s="16"/>
      <c r="F311" s="29">
        <f>SUM(F305:F310)</f>
        <v>-1141510</v>
      </c>
      <c r="G311" s="30"/>
      <c r="H311" s="29">
        <f>SUM(H305:H310)</f>
        <v>-774039</v>
      </c>
      <c r="I311" s="30"/>
      <c r="J311" s="123"/>
      <c r="K311" s="32"/>
      <c r="L311" s="122"/>
      <c r="M311" s="122"/>
      <c r="N311" s="25"/>
      <c r="O311" s="25"/>
      <c r="P311" s="22"/>
    </row>
    <row r="312" spans="1:16" ht="12.75">
      <c r="A312" s="5"/>
      <c r="B312" s="5"/>
      <c r="D312" s="220"/>
      <c r="E312" s="16"/>
      <c r="F312" s="30"/>
      <c r="G312" s="30"/>
      <c r="H312" s="28"/>
      <c r="I312" s="30"/>
      <c r="J312" s="123"/>
      <c r="K312" s="32"/>
      <c r="L312" s="122"/>
      <c r="M312" s="122"/>
      <c r="N312" s="25"/>
      <c r="O312" s="25"/>
      <c r="P312" s="22"/>
    </row>
    <row r="313" spans="1:17" ht="12.75">
      <c r="A313" s="5"/>
      <c r="B313" s="5"/>
      <c r="D313" s="30"/>
      <c r="E313" s="16"/>
      <c r="F313" s="30"/>
      <c r="G313" s="30"/>
      <c r="H313" s="30"/>
      <c r="I313" s="18"/>
      <c r="J313" s="30"/>
      <c r="K313" s="123"/>
      <c r="L313" s="32"/>
      <c r="M313" s="122"/>
      <c r="N313" s="122"/>
      <c r="O313" s="25"/>
      <c r="P313" s="25"/>
      <c r="Q313" s="22"/>
    </row>
    <row r="314" spans="1:18" ht="15">
      <c r="A314" s="44" t="s">
        <v>167</v>
      </c>
      <c r="B314" s="5"/>
      <c r="D314" s="112"/>
      <c r="F314" s="14"/>
      <c r="G314" s="14"/>
      <c r="H314" s="280"/>
      <c r="I314" s="14"/>
      <c r="J314" s="14"/>
      <c r="R314" s="76"/>
    </row>
    <row r="315" spans="1:16" ht="13.5" thickBot="1">
      <c r="A315" s="38" t="s">
        <v>150</v>
      </c>
      <c r="B315" s="38"/>
      <c r="C315" s="38"/>
      <c r="D315" s="80"/>
      <c r="E315" s="51"/>
      <c r="F315" s="51"/>
      <c r="G315" s="51"/>
      <c r="H315" s="51"/>
      <c r="I315" s="28"/>
      <c r="J315" s="169"/>
      <c r="K315" s="52"/>
      <c r="L315" s="52"/>
      <c r="M315" s="50"/>
      <c r="N315" s="50"/>
      <c r="O315" s="50"/>
      <c r="P315" s="50"/>
    </row>
    <row r="316" spans="1:15" ht="12.75">
      <c r="A316" s="32"/>
      <c r="B316" s="32"/>
      <c r="C316" s="32"/>
      <c r="D316" s="315" t="s">
        <v>8</v>
      </c>
      <c r="E316" s="315"/>
      <c r="F316" s="315"/>
      <c r="G316" s="125"/>
      <c r="H316" s="290" t="s">
        <v>37</v>
      </c>
      <c r="I316" s="291"/>
      <c r="J316" s="291"/>
      <c r="K316" s="52"/>
      <c r="L316" s="52"/>
      <c r="M316" s="50"/>
      <c r="N316" s="50"/>
      <c r="O316" s="50"/>
    </row>
    <row r="317" spans="1:15" ht="12.75">
      <c r="A317" s="25"/>
      <c r="B317" s="25"/>
      <c r="C317" s="25"/>
      <c r="D317" s="309" t="s">
        <v>246</v>
      </c>
      <c r="E317" s="309"/>
      <c r="F317" s="309"/>
      <c r="G317" s="67"/>
      <c r="H317" s="288" t="s">
        <v>6</v>
      </c>
      <c r="I317" s="289"/>
      <c r="J317" s="289"/>
      <c r="K317" s="52"/>
      <c r="L317" s="52"/>
      <c r="M317" s="50"/>
      <c r="N317" s="50"/>
      <c r="O317" s="50"/>
    </row>
    <row r="318" spans="1:15" ht="12.75">
      <c r="A318" s="47" t="s">
        <v>7</v>
      </c>
      <c r="B318" s="47"/>
      <c r="C318" s="25"/>
      <c r="D318" s="56">
        <v>2010</v>
      </c>
      <c r="E318" s="129"/>
      <c r="F318" s="26">
        <v>2009</v>
      </c>
      <c r="G318" s="68"/>
      <c r="H318" s="283">
        <v>2009</v>
      </c>
      <c r="I318" s="114"/>
      <c r="J318" s="68"/>
      <c r="K318" s="52"/>
      <c r="L318" s="52"/>
      <c r="M318" s="50"/>
      <c r="N318" s="50"/>
      <c r="O318" s="50"/>
    </row>
    <row r="319" spans="1:16" ht="12.75">
      <c r="A319" s="64"/>
      <c r="B319" s="64"/>
      <c r="C319" s="25"/>
      <c r="D319" s="313" t="s">
        <v>5</v>
      </c>
      <c r="E319" s="313"/>
      <c r="F319" s="313"/>
      <c r="G319" s="313"/>
      <c r="H319" s="313"/>
      <c r="I319" s="219"/>
      <c r="J319" s="219"/>
      <c r="K319" s="217"/>
      <c r="L319" s="217"/>
      <c r="M319" s="50"/>
      <c r="N319" s="50"/>
      <c r="O319" s="50"/>
      <c r="P319" s="50"/>
    </row>
    <row r="320" spans="2:16" s="122" customFormat="1" ht="12.75">
      <c r="B320" s="25" t="s">
        <v>151</v>
      </c>
      <c r="C320" s="25"/>
      <c r="D320" s="57">
        <f>+'[3]IS'!$F$26</f>
        <v>10021</v>
      </c>
      <c r="E320" s="24"/>
      <c r="F320" s="24">
        <f>+'[4]IS'!$H$26</f>
        <v>61605</v>
      </c>
      <c r="G320" s="24"/>
      <c r="H320" s="24">
        <f>+'[4]IS'!$J$26</f>
        <v>176167</v>
      </c>
      <c r="I320" s="23"/>
      <c r="J320" s="23"/>
      <c r="K320" s="292"/>
      <c r="L320" s="292"/>
      <c r="M320" s="116"/>
      <c r="N320" s="116"/>
      <c r="O320" s="116"/>
      <c r="P320" s="25"/>
    </row>
    <row r="321" spans="2:16" s="122" customFormat="1" ht="12.75">
      <c r="B321" s="25" t="s">
        <v>152</v>
      </c>
      <c r="C321" s="25"/>
      <c r="D321" s="58">
        <f>+'[3]IS'!$F$27</f>
        <v>6234</v>
      </c>
      <c r="E321" s="24"/>
      <c r="F321" s="22">
        <f>+'[4]IS'!$H$27</f>
        <v>-7441</v>
      </c>
      <c r="G321" s="24"/>
      <c r="H321" s="22">
        <f>+'[4]IS'!$J$27</f>
        <v>-8248</v>
      </c>
      <c r="I321" s="23"/>
      <c r="J321" s="28"/>
      <c r="K321" s="292"/>
      <c r="L321" s="292"/>
      <c r="M321" s="116"/>
      <c r="N321" s="116"/>
      <c r="O321" s="116"/>
      <c r="P321" s="25"/>
    </row>
    <row r="322" spans="2:16" s="122" customFormat="1" ht="12.75">
      <c r="B322" s="25" t="s">
        <v>153</v>
      </c>
      <c r="C322" s="25"/>
      <c r="D322" s="58">
        <f>-'[3]IS'!$F$30</f>
        <v>-67</v>
      </c>
      <c r="E322" s="22"/>
      <c r="F322" s="22">
        <f>-'[4]IS'!$H$30</f>
        <v>0</v>
      </c>
      <c r="G322" s="28"/>
      <c r="H322" s="22">
        <f>-'[4]IS'!$J$30</f>
        <v>-2094</v>
      </c>
      <c r="I322" s="28"/>
      <c r="J322" s="28"/>
      <c r="K322" s="292"/>
      <c r="L322" s="292"/>
      <c r="M322" s="116"/>
      <c r="N322" s="116"/>
      <c r="O322" s="116"/>
      <c r="P322" s="25"/>
    </row>
    <row r="323" spans="1:15" ht="12.75">
      <c r="A323" s="113"/>
      <c r="B323" s="113" t="s">
        <v>154</v>
      </c>
      <c r="C323" s="25"/>
      <c r="D323" s="60">
        <f>SUM(D320:D322)</f>
        <v>16188</v>
      </c>
      <c r="E323" s="34"/>
      <c r="F323" s="29">
        <f>SUM(F320:F322)</f>
        <v>54164</v>
      </c>
      <c r="G323" s="34"/>
      <c r="H323" s="29">
        <f>SUM(H320:H322)</f>
        <v>165825</v>
      </c>
      <c r="I323" s="23"/>
      <c r="J323" s="30"/>
      <c r="K323" s="52"/>
      <c r="L323" s="52"/>
      <c r="M323" s="50"/>
      <c r="N323" s="50"/>
      <c r="O323" s="50"/>
    </row>
    <row r="324" spans="1:15" ht="12.75">
      <c r="A324" s="19"/>
      <c r="C324" s="5"/>
      <c r="D324" s="50"/>
      <c r="E324" s="52"/>
      <c r="F324" s="50"/>
      <c r="G324" s="50"/>
      <c r="H324" s="50"/>
      <c r="I324" s="52"/>
      <c r="J324" s="52"/>
      <c r="K324" s="52"/>
      <c r="L324" s="52"/>
      <c r="M324" s="50"/>
      <c r="N324" s="50"/>
      <c r="O324" s="50"/>
    </row>
    <row r="325" spans="2:16" s="122" customFormat="1" ht="12.75">
      <c r="B325" s="25" t="s">
        <v>155</v>
      </c>
      <c r="C325" s="25"/>
      <c r="D325" s="58">
        <f>+H325-0</f>
        <v>0</v>
      </c>
      <c r="E325" s="22"/>
      <c r="F325" s="22">
        <v>0</v>
      </c>
      <c r="G325" s="28"/>
      <c r="H325" s="22">
        <v>0</v>
      </c>
      <c r="I325" s="28"/>
      <c r="J325" s="28"/>
      <c r="K325" s="292"/>
      <c r="L325" s="292"/>
      <c r="M325" s="116"/>
      <c r="N325" s="116"/>
      <c r="O325" s="116"/>
      <c r="P325" s="25"/>
    </row>
    <row r="326" spans="1:15" ht="12.75">
      <c r="A326" s="113"/>
      <c r="B326" s="113" t="s">
        <v>156</v>
      </c>
      <c r="C326" s="25"/>
      <c r="D326" s="60">
        <f>D323+D325</f>
        <v>16188</v>
      </c>
      <c r="E326" s="34"/>
      <c r="F326" s="29">
        <f>F323+F325</f>
        <v>54164</v>
      </c>
      <c r="G326" s="34"/>
      <c r="H326" s="29">
        <f>H323+H325</f>
        <v>165825</v>
      </c>
      <c r="I326" s="23"/>
      <c r="J326" s="30"/>
      <c r="K326" s="52"/>
      <c r="L326" s="52"/>
      <c r="M326" s="50"/>
      <c r="N326" s="50"/>
      <c r="O326" s="50"/>
    </row>
    <row r="327" spans="1:16" s="122" customFormat="1" ht="12.75">
      <c r="A327" s="32"/>
      <c r="B327" s="32"/>
      <c r="C327" s="25"/>
      <c r="D327" s="30"/>
      <c r="E327" s="34"/>
      <c r="F327" s="220"/>
      <c r="G327" s="34"/>
      <c r="H327" s="30"/>
      <c r="I327" s="23"/>
      <c r="J327" s="30"/>
      <c r="K327" s="292"/>
      <c r="L327" s="292"/>
      <c r="M327" s="116"/>
      <c r="N327" s="116"/>
      <c r="O327" s="116"/>
      <c r="P327" s="25"/>
    </row>
    <row r="328" spans="1:14" s="181" customFormat="1" ht="12.75">
      <c r="A328" s="176" t="s">
        <v>161</v>
      </c>
      <c r="C328" s="177"/>
      <c r="D328" s="178"/>
      <c r="E328" s="177"/>
      <c r="F328" s="221"/>
      <c r="G328" s="180"/>
      <c r="H328" s="179"/>
      <c r="I328" s="179"/>
      <c r="J328" s="179"/>
      <c r="K328" s="179"/>
      <c r="L328" s="180"/>
      <c r="M328" s="179"/>
      <c r="N328" s="175"/>
    </row>
    <row r="329" spans="2:12" s="181" customFormat="1" ht="12.75">
      <c r="B329" s="182" t="s">
        <v>157</v>
      </c>
      <c r="C329" s="176"/>
      <c r="D329" s="184">
        <f>D323*1000/D335</f>
        <v>0.08175757617049281</v>
      </c>
      <c r="E329" s="175"/>
      <c r="F329" s="175">
        <f>F323*1000/F335</f>
        <v>0.3074128746230462</v>
      </c>
      <c r="G329" s="175"/>
      <c r="H329" s="175">
        <f>H323*1000/H335</f>
        <v>0.8770975156837159</v>
      </c>
      <c r="I329" s="175"/>
      <c r="J329" s="175"/>
      <c r="K329" s="175"/>
      <c r="L329" s="185"/>
    </row>
    <row r="330" spans="2:12" s="181" customFormat="1" ht="12.75">
      <c r="B330" s="182" t="s">
        <v>166</v>
      </c>
      <c r="C330" s="176"/>
      <c r="D330" s="184">
        <f>D326*1000/D337</f>
        <v>0.08132793874083039</v>
      </c>
      <c r="E330" s="186"/>
      <c r="F330" s="187">
        <f>F326*1000/F337</f>
        <v>0.3074128746230462</v>
      </c>
      <c r="G330" s="187"/>
      <c r="H330" s="187">
        <f>H326*1000/H337</f>
        <v>0.8770952007148465</v>
      </c>
      <c r="I330" s="186"/>
      <c r="J330" s="187"/>
      <c r="K330" s="186"/>
      <c r="L330" s="185"/>
    </row>
    <row r="331" spans="1:13" s="181" customFormat="1" ht="12.75">
      <c r="A331" s="177" t="s">
        <v>158</v>
      </c>
      <c r="C331" s="176"/>
      <c r="D331" s="188"/>
      <c r="E331" s="189"/>
      <c r="F331" s="190"/>
      <c r="G331" s="190"/>
      <c r="H331" s="190"/>
      <c r="I331" s="189"/>
      <c r="J331" s="190"/>
      <c r="K331" s="189"/>
      <c r="L331" s="185"/>
      <c r="M331" s="170"/>
    </row>
    <row r="332" spans="2:12" s="181" customFormat="1" ht="12.75">
      <c r="B332" s="191" t="s">
        <v>157</v>
      </c>
      <c r="C332" s="176"/>
      <c r="D332" s="184">
        <f>((D323-D321)*1000)/D335</f>
        <v>0.05027272752662994</v>
      </c>
      <c r="E332" s="175"/>
      <c r="F332" s="175">
        <f>((F323-F321)*1000)/F335</f>
        <v>0.34964496974286907</v>
      </c>
      <c r="G332" s="175"/>
      <c r="H332" s="175">
        <f>((H323-H321)*1000)/H335</f>
        <v>0.9207236294142106</v>
      </c>
      <c r="I332" s="175"/>
      <c r="J332" s="175"/>
      <c r="K332" s="175"/>
      <c r="L332" s="185"/>
    </row>
    <row r="333" spans="1:12" s="181" customFormat="1" ht="12.75">
      <c r="A333" s="192"/>
      <c r="B333" s="192" t="s">
        <v>165</v>
      </c>
      <c r="C333" s="176"/>
      <c r="D333" s="193">
        <f>((D326-D321)*1000)/D337</f>
        <v>0.050008543502979105</v>
      </c>
      <c r="E333" s="175"/>
      <c r="F333" s="203">
        <f>((F326-F321)*1000)/F337</f>
        <v>0.34964496974286907</v>
      </c>
      <c r="G333" s="175"/>
      <c r="H333" s="203">
        <f>((H326-H321)*1000)/H337</f>
        <v>0.9207211993006813</v>
      </c>
      <c r="I333" s="175"/>
      <c r="J333" s="175"/>
      <c r="K333" s="175"/>
      <c r="L333" s="185"/>
    </row>
    <row r="334" spans="1:12" s="181" customFormat="1" ht="12.75">
      <c r="A334" s="183"/>
      <c r="B334" s="183"/>
      <c r="C334" s="176"/>
      <c r="D334" s="184"/>
      <c r="E334" s="175"/>
      <c r="F334" s="175"/>
      <c r="G334" s="175"/>
      <c r="H334" s="175"/>
      <c r="I334" s="175"/>
      <c r="J334" s="175"/>
      <c r="K334" s="175"/>
      <c r="L334" s="185"/>
    </row>
    <row r="335" spans="1:12" s="181" customFormat="1" ht="12.75">
      <c r="A335" s="194"/>
      <c r="B335" s="194" t="s">
        <v>159</v>
      </c>
      <c r="C335" s="195"/>
      <c r="D335" s="59">
        <v>197999999</v>
      </c>
      <c r="E335" s="196"/>
      <c r="F335" s="28">
        <v>176193011</v>
      </c>
      <c r="G335" s="196"/>
      <c r="H335" s="28">
        <v>189061075.91780823</v>
      </c>
      <c r="I335" s="196"/>
      <c r="J335" s="28"/>
      <c r="K335" s="28"/>
      <c r="L335" s="185"/>
    </row>
    <row r="336" spans="1:12" s="181" customFormat="1" ht="12.75">
      <c r="A336" s="194"/>
      <c r="B336" s="194" t="s">
        <v>164</v>
      </c>
      <c r="C336" s="195"/>
      <c r="D336" s="59">
        <v>1045990</v>
      </c>
      <c r="E336" s="196"/>
      <c r="F336" s="28">
        <v>0</v>
      </c>
      <c r="G336" s="196"/>
      <c r="H336" s="28">
        <v>499</v>
      </c>
      <c r="I336" s="196"/>
      <c r="J336" s="28"/>
      <c r="K336" s="28"/>
      <c r="L336" s="185"/>
    </row>
    <row r="337" spans="1:12" s="181" customFormat="1" ht="12.75">
      <c r="A337" s="197"/>
      <c r="B337" s="197" t="s">
        <v>160</v>
      </c>
      <c r="C337" s="4"/>
      <c r="D337" s="103">
        <f>SUM(D335:D336)</f>
        <v>199045989</v>
      </c>
      <c r="E337" s="28"/>
      <c r="F337" s="100">
        <v>176193011</v>
      </c>
      <c r="G337" s="28"/>
      <c r="H337" s="100">
        <f>SUM(H335:H336)</f>
        <v>189061574.91780823</v>
      </c>
      <c r="I337" s="28"/>
      <c r="J337" s="28"/>
      <c r="K337" s="28"/>
      <c r="L337" s="196"/>
    </row>
    <row r="338" spans="1:18" s="206" customFormat="1" ht="12.75">
      <c r="A338" s="2" t="s">
        <v>264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05"/>
    </row>
    <row r="339" spans="1:18" s="206" customFormat="1" ht="12.75">
      <c r="A339" s="2" t="s">
        <v>265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05"/>
    </row>
    <row r="340" spans="1:18" s="206" customFormat="1" ht="12.75">
      <c r="A340" s="2" t="s">
        <v>266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05"/>
    </row>
    <row r="341" spans="1:18" s="206" customFormat="1" ht="12.75">
      <c r="A341" s="209"/>
      <c r="B341" s="209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05"/>
    </row>
    <row r="342" spans="1:18" s="206" customFormat="1" ht="15">
      <c r="A342" s="8" t="s">
        <v>205</v>
      </c>
      <c r="B342" s="2"/>
      <c r="C342" s="2"/>
      <c r="D342" s="16"/>
      <c r="E342" s="16"/>
      <c r="F342" s="16"/>
      <c r="G342" s="16"/>
      <c r="H342" s="16"/>
      <c r="I342" s="16"/>
      <c r="J342" s="16"/>
      <c r="K342" s="2"/>
      <c r="L342" s="2"/>
      <c r="M342" s="2"/>
      <c r="N342" s="2"/>
      <c r="O342" s="2"/>
      <c r="P342" s="2"/>
      <c r="Q342" s="2"/>
      <c r="R342" s="205"/>
    </row>
    <row r="343" spans="1:18" s="206" customFormat="1" ht="13.5" thickBot="1">
      <c r="A343" s="38" t="s">
        <v>195</v>
      </c>
      <c r="B343" s="38"/>
      <c r="C343" s="38"/>
      <c r="D343" s="80"/>
      <c r="E343" s="51"/>
      <c r="F343" s="51"/>
      <c r="G343" s="51"/>
      <c r="H343" s="51"/>
      <c r="I343" s="28"/>
      <c r="J343" s="169"/>
      <c r="K343" s="5"/>
      <c r="L343" s="2"/>
      <c r="M343" s="2"/>
      <c r="N343" s="2"/>
      <c r="O343" s="2"/>
      <c r="P343" s="2"/>
      <c r="Q343" s="2"/>
      <c r="R343" s="205"/>
    </row>
    <row r="344" spans="1:18" s="206" customFormat="1" ht="12.75">
      <c r="A344" s="32"/>
      <c r="B344" s="32"/>
      <c r="C344" s="32"/>
      <c r="D344" s="315" t="s">
        <v>8</v>
      </c>
      <c r="E344" s="315"/>
      <c r="F344" s="315"/>
      <c r="G344" s="125"/>
      <c r="H344" s="290" t="s">
        <v>37</v>
      </c>
      <c r="I344" s="291"/>
      <c r="J344" s="291"/>
      <c r="K344" s="5"/>
      <c r="L344" s="2"/>
      <c r="M344" s="2"/>
      <c r="N344" s="2"/>
      <c r="O344" s="2"/>
      <c r="P344" s="2"/>
      <c r="Q344" s="2"/>
      <c r="R344" s="205"/>
    </row>
    <row r="345" spans="1:18" s="206" customFormat="1" ht="12.75">
      <c r="A345" s="25"/>
      <c r="B345" s="25"/>
      <c r="C345" s="25"/>
      <c r="D345" s="309" t="s">
        <v>246</v>
      </c>
      <c r="E345" s="309"/>
      <c r="F345" s="309"/>
      <c r="G345" s="67"/>
      <c r="H345" s="288" t="s">
        <v>6</v>
      </c>
      <c r="I345" s="289"/>
      <c r="J345" s="289"/>
      <c r="K345" s="5"/>
      <c r="L345" s="2"/>
      <c r="M345" s="2"/>
      <c r="N345" s="2"/>
      <c r="O345" s="2"/>
      <c r="P345" s="2"/>
      <c r="Q345" s="2"/>
      <c r="R345" s="205"/>
    </row>
    <row r="346" spans="1:18" s="206" customFormat="1" ht="12.75">
      <c r="A346" s="47" t="s">
        <v>7</v>
      </c>
      <c r="B346" s="47"/>
      <c r="C346" s="25"/>
      <c r="D346" s="56">
        <v>2010</v>
      </c>
      <c r="E346" s="129"/>
      <c r="F346" s="26">
        <v>2009</v>
      </c>
      <c r="G346" s="68"/>
      <c r="H346" s="283">
        <v>2009</v>
      </c>
      <c r="I346" s="114"/>
      <c r="J346" s="68"/>
      <c r="K346" s="5"/>
      <c r="L346" s="2"/>
      <c r="M346" s="2"/>
      <c r="N346" s="2"/>
      <c r="O346" s="2"/>
      <c r="P346" s="2"/>
      <c r="Q346" s="2"/>
      <c r="R346" s="205"/>
    </row>
    <row r="347" spans="1:18" s="206" customFormat="1" ht="12.75">
      <c r="A347" s="64"/>
      <c r="B347" s="64"/>
      <c r="C347" s="25"/>
      <c r="D347" s="313" t="s">
        <v>5</v>
      </c>
      <c r="E347" s="313"/>
      <c r="F347" s="313"/>
      <c r="G347" s="313"/>
      <c r="H347" s="313"/>
      <c r="I347" s="219"/>
      <c r="J347" s="219"/>
      <c r="K347" s="5"/>
      <c r="L347" s="2"/>
      <c r="M347" s="2"/>
      <c r="N347" s="2"/>
      <c r="O347" s="2"/>
      <c r="P347" s="2"/>
      <c r="Q347" s="2"/>
      <c r="R347" s="205"/>
    </row>
    <row r="348" spans="1:18" s="206" customFormat="1" ht="12.75">
      <c r="A348" s="113"/>
      <c r="B348" s="113" t="s">
        <v>174</v>
      </c>
      <c r="C348" s="25"/>
      <c r="D348" s="227">
        <v>21756</v>
      </c>
      <c r="E348" s="24"/>
      <c r="F348" s="299">
        <v>34282</v>
      </c>
      <c r="G348" s="24"/>
      <c r="H348" s="299">
        <v>194624</v>
      </c>
      <c r="I348" s="23"/>
      <c r="J348" s="23"/>
      <c r="K348" s="5"/>
      <c r="L348" s="2"/>
      <c r="M348" s="2"/>
      <c r="N348" s="2"/>
      <c r="O348" s="2"/>
      <c r="P348" s="2"/>
      <c r="Q348" s="2"/>
      <c r="R348" s="205"/>
    </row>
    <row r="349" spans="1:18" s="206" customFormat="1" ht="12.75">
      <c r="A349" s="25"/>
      <c r="B349" s="25" t="s">
        <v>178</v>
      </c>
      <c r="C349" s="25"/>
      <c r="D349" s="58">
        <f>22551+708</f>
        <v>23259</v>
      </c>
      <c r="E349" s="24"/>
      <c r="F349" s="22">
        <f>36482+56+2188</f>
        <v>38726</v>
      </c>
      <c r="G349" s="24"/>
      <c r="H349" s="22">
        <f>168641+4+7352</f>
        <v>175997</v>
      </c>
      <c r="I349" s="23"/>
      <c r="J349" s="28"/>
      <c r="K349" s="5"/>
      <c r="L349" s="2"/>
      <c r="M349" s="2"/>
      <c r="N349" s="2"/>
      <c r="O349" s="2"/>
      <c r="P349" s="2"/>
      <c r="Q349" s="2"/>
      <c r="R349" s="205"/>
    </row>
    <row r="350" spans="1:18" s="206" customFormat="1" ht="12.75">
      <c r="A350" s="25"/>
      <c r="B350" s="25" t="s">
        <v>175</v>
      </c>
      <c r="C350" s="25"/>
      <c r="D350" s="58">
        <v>0</v>
      </c>
      <c r="E350" s="24"/>
      <c r="F350" s="22">
        <v>5880</v>
      </c>
      <c r="G350" s="24"/>
      <c r="H350" s="22">
        <v>22702</v>
      </c>
      <c r="I350" s="23"/>
      <c r="J350" s="28"/>
      <c r="K350" s="5"/>
      <c r="L350" s="2"/>
      <c r="M350" s="2"/>
      <c r="N350" s="2"/>
      <c r="O350" s="2"/>
      <c r="P350" s="2"/>
      <c r="Q350" s="2"/>
      <c r="R350" s="205"/>
    </row>
    <row r="351" spans="1:18" s="206" customFormat="1" ht="12.75">
      <c r="A351" s="231"/>
      <c r="B351" s="231" t="s">
        <v>177</v>
      </c>
      <c r="C351" s="25"/>
      <c r="D351" s="103">
        <f>SUM(D349:D350)</f>
        <v>23259</v>
      </c>
      <c r="E351" s="28"/>
      <c r="F351" s="100">
        <f>SUM(F349:F350)</f>
        <v>44606</v>
      </c>
      <c r="G351" s="28"/>
      <c r="H351" s="100">
        <f>SUM(H349:H350)</f>
        <v>198699</v>
      </c>
      <c r="I351" s="28"/>
      <c r="J351" s="28"/>
      <c r="K351" s="5"/>
      <c r="L351" s="2"/>
      <c r="M351" s="2"/>
      <c r="N351" s="2"/>
      <c r="O351" s="2"/>
      <c r="P351" s="2"/>
      <c r="Q351" s="2"/>
      <c r="R351" s="205"/>
    </row>
    <row r="352" spans="1:18" s="206" customFormat="1" ht="12.75">
      <c r="A352" s="32"/>
      <c r="B352" s="32" t="s">
        <v>176</v>
      </c>
      <c r="C352" s="25"/>
      <c r="D352" s="58">
        <f>+D348-D351</f>
        <v>-1503</v>
      </c>
      <c r="E352" s="22"/>
      <c r="F352" s="22">
        <f>+F348-F351</f>
        <v>-10324</v>
      </c>
      <c r="G352" s="28"/>
      <c r="H352" s="22">
        <f>+H348-H351</f>
        <v>-4075</v>
      </c>
      <c r="I352" s="28"/>
      <c r="J352" s="28"/>
      <c r="K352" s="5"/>
      <c r="L352" s="2"/>
      <c r="M352" s="2"/>
      <c r="N352" s="2"/>
      <c r="O352" s="2"/>
      <c r="P352" s="2"/>
      <c r="Q352" s="2"/>
      <c r="R352" s="205"/>
    </row>
    <row r="353" spans="1:18" s="206" customFormat="1" ht="12.75">
      <c r="A353" s="32"/>
      <c r="B353" s="32" t="s">
        <v>181</v>
      </c>
      <c r="C353" s="25"/>
      <c r="D353" s="58">
        <v>286</v>
      </c>
      <c r="E353" s="22"/>
      <c r="F353" s="22">
        <v>-163</v>
      </c>
      <c r="G353" s="28"/>
      <c r="H353" s="22">
        <v>2352</v>
      </c>
      <c r="I353" s="28"/>
      <c r="J353" s="28"/>
      <c r="K353" s="5"/>
      <c r="L353" s="2"/>
      <c r="M353" s="2"/>
      <c r="N353" s="2"/>
      <c r="O353" s="2"/>
      <c r="P353" s="2"/>
      <c r="Q353" s="2"/>
      <c r="R353" s="205"/>
    </row>
    <row r="354" spans="1:18" s="206" customFormat="1" ht="12.75">
      <c r="A354" s="231"/>
      <c r="B354" s="231" t="s">
        <v>172</v>
      </c>
      <c r="C354" s="25"/>
      <c r="D354" s="60">
        <f>SUM(D352:D353)</f>
        <v>-1217</v>
      </c>
      <c r="E354" s="34"/>
      <c r="F354" s="29">
        <f>SUM(F352:F353)</f>
        <v>-10487</v>
      </c>
      <c r="G354" s="34"/>
      <c r="H354" s="29">
        <f>SUM(H352:H353)</f>
        <v>-1723</v>
      </c>
      <c r="I354" s="23"/>
      <c r="J354" s="30"/>
      <c r="K354" s="5"/>
      <c r="L354" s="2"/>
      <c r="M354" s="2"/>
      <c r="N354" s="2"/>
      <c r="O354" s="2"/>
      <c r="P354" s="2"/>
      <c r="Q354" s="2"/>
      <c r="R354" s="205"/>
    </row>
    <row r="355" spans="1:18" s="206" customFormat="1" ht="12.75">
      <c r="A355" s="32" t="s">
        <v>179</v>
      </c>
      <c r="B355" s="32"/>
      <c r="C355" s="25"/>
      <c r="D355" s="16"/>
      <c r="E355" s="16"/>
      <c r="F355" s="16"/>
      <c r="G355" s="16"/>
      <c r="H355" s="16"/>
      <c r="I355" s="18"/>
      <c r="J355" s="18"/>
      <c r="K355" s="5"/>
      <c r="L355" s="2"/>
      <c r="M355" s="2"/>
      <c r="N355" s="2"/>
      <c r="O355" s="2"/>
      <c r="P355" s="2"/>
      <c r="Q355" s="2"/>
      <c r="R355" s="205"/>
    </row>
    <row r="356" spans="1:18" s="206" customFormat="1" ht="12.75">
      <c r="A356" s="32"/>
      <c r="B356" s="32"/>
      <c r="C356" s="25"/>
      <c r="D356" s="16"/>
      <c r="E356" s="16"/>
      <c r="F356" s="16"/>
      <c r="G356" s="16"/>
      <c r="H356" s="16"/>
      <c r="I356" s="16"/>
      <c r="J356" s="16"/>
      <c r="K356" s="2"/>
      <c r="L356" s="2"/>
      <c r="M356" s="2"/>
      <c r="N356" s="2"/>
      <c r="O356" s="2"/>
      <c r="P356" s="2"/>
      <c r="Q356" s="2"/>
      <c r="R356" s="205"/>
    </row>
    <row r="357" spans="1:18" s="206" customFormat="1" ht="13.5" thickBot="1">
      <c r="A357" s="6" t="s">
        <v>171</v>
      </c>
      <c r="B357" s="6"/>
      <c r="C357" s="6"/>
      <c r="D357" s="16"/>
      <c r="E357" s="16"/>
      <c r="F357" s="16"/>
      <c r="G357" s="16"/>
      <c r="H357" s="16"/>
      <c r="I357" s="28"/>
      <c r="J357" s="28"/>
      <c r="K357" s="2"/>
      <c r="L357" s="2"/>
      <c r="M357" s="2"/>
      <c r="N357" s="2"/>
      <c r="O357" s="2"/>
      <c r="P357" s="2"/>
      <c r="Q357" s="2"/>
      <c r="R357" s="205"/>
    </row>
    <row r="358" spans="1:18" s="206" customFormat="1" ht="12.75">
      <c r="A358" s="5"/>
      <c r="B358" s="5"/>
      <c r="C358" s="5"/>
      <c r="D358" s="315" t="s">
        <v>8</v>
      </c>
      <c r="E358" s="315"/>
      <c r="F358" s="315"/>
      <c r="G358" s="125"/>
      <c r="H358" s="281" t="s">
        <v>37</v>
      </c>
      <c r="I358" s="291"/>
      <c r="J358" s="291"/>
      <c r="K358" s="2"/>
      <c r="L358" s="2"/>
      <c r="M358" s="2"/>
      <c r="N358" s="2"/>
      <c r="O358" s="2"/>
      <c r="P358" s="2"/>
      <c r="Q358" s="2"/>
      <c r="R358" s="205"/>
    </row>
    <row r="359" spans="1:18" s="206" customFormat="1" ht="12.75">
      <c r="A359" s="2"/>
      <c r="B359" s="2"/>
      <c r="C359" s="2"/>
      <c r="D359" s="309" t="s">
        <v>246</v>
      </c>
      <c r="E359" s="309"/>
      <c r="F359" s="309"/>
      <c r="G359" s="67"/>
      <c r="H359" s="241" t="s">
        <v>6</v>
      </c>
      <c r="I359" s="289"/>
      <c r="J359" s="289"/>
      <c r="K359" s="2"/>
      <c r="L359" s="2"/>
      <c r="M359" s="2"/>
      <c r="N359" s="2"/>
      <c r="O359" s="2"/>
      <c r="P359" s="2"/>
      <c r="Q359" s="2"/>
      <c r="R359" s="205"/>
    </row>
    <row r="360" spans="1:18" s="206" customFormat="1" ht="12.75">
      <c r="A360" s="13" t="s">
        <v>7</v>
      </c>
      <c r="B360" s="12"/>
      <c r="C360" s="2"/>
      <c r="D360" s="56">
        <v>2010</v>
      </c>
      <c r="E360" s="129"/>
      <c r="F360" s="26">
        <v>2009</v>
      </c>
      <c r="G360" s="68"/>
      <c r="H360" s="283">
        <v>2009</v>
      </c>
      <c r="I360" s="114"/>
      <c r="J360" s="68"/>
      <c r="K360" s="2"/>
      <c r="L360" s="2"/>
      <c r="M360" s="2"/>
      <c r="N360" s="2"/>
      <c r="O360" s="2"/>
      <c r="P360" s="2"/>
      <c r="Q360" s="2"/>
      <c r="R360" s="205"/>
    </row>
    <row r="361" spans="1:18" s="206" customFormat="1" ht="12.75">
      <c r="A361" s="65"/>
      <c r="B361" s="5"/>
      <c r="C361" s="2"/>
      <c r="D361" s="311" t="s">
        <v>5</v>
      </c>
      <c r="E361" s="311"/>
      <c r="F361" s="311"/>
      <c r="G361" s="311"/>
      <c r="H361" s="311"/>
      <c r="I361" s="225"/>
      <c r="J361" s="225"/>
      <c r="K361" s="2"/>
      <c r="L361" s="2"/>
      <c r="M361" s="2"/>
      <c r="N361" s="2"/>
      <c r="O361" s="2"/>
      <c r="P361" s="2"/>
      <c r="Q361" s="2"/>
      <c r="R361" s="205"/>
    </row>
    <row r="362" spans="1:18" s="206" customFormat="1" ht="12.75">
      <c r="A362" s="65"/>
      <c r="B362" s="5" t="s">
        <v>172</v>
      </c>
      <c r="C362" s="2"/>
      <c r="D362" s="57">
        <f>+D354</f>
        <v>-1217</v>
      </c>
      <c r="E362" s="14"/>
      <c r="F362" s="24">
        <f>+F354</f>
        <v>-10487</v>
      </c>
      <c r="G362" s="24"/>
      <c r="H362" s="24">
        <f>+H354</f>
        <v>-1723</v>
      </c>
      <c r="I362" s="17"/>
      <c r="J362" s="23"/>
      <c r="K362" s="2"/>
      <c r="L362" s="2"/>
      <c r="M362" s="2"/>
      <c r="N362" s="2"/>
      <c r="O362" s="2"/>
      <c r="P362" s="2"/>
      <c r="Q362" s="2"/>
      <c r="R362" s="205"/>
    </row>
    <row r="363" spans="1:18" ht="12.75">
      <c r="A363" s="2"/>
      <c r="B363" s="2" t="s">
        <v>263</v>
      </c>
      <c r="D363" s="58">
        <v>0</v>
      </c>
      <c r="E363" s="24"/>
      <c r="F363" s="22">
        <v>0</v>
      </c>
      <c r="G363" s="24"/>
      <c r="H363" s="22">
        <v>1956</v>
      </c>
      <c r="I363" s="23"/>
      <c r="J363" s="28"/>
      <c r="R363" s="76"/>
    </row>
    <row r="364" spans="1:18" ht="12.75">
      <c r="A364" s="2"/>
      <c r="B364" s="2" t="s">
        <v>252</v>
      </c>
      <c r="C364" s="307"/>
      <c r="D364" s="58">
        <f>8541+261-D365</f>
        <v>14729</v>
      </c>
      <c r="E364" s="24"/>
      <c r="F364" s="22">
        <v>0</v>
      </c>
      <c r="G364" s="24"/>
      <c r="H364" s="22">
        <v>0</v>
      </c>
      <c r="I364" s="23"/>
      <c r="J364" s="28"/>
      <c r="R364" s="76"/>
    </row>
    <row r="365" spans="1:18" ht="12.75">
      <c r="A365" s="2"/>
      <c r="B365" s="2" t="s">
        <v>206</v>
      </c>
      <c r="C365" s="307"/>
      <c r="D365" s="58">
        <v>-5927</v>
      </c>
      <c r="E365" s="24"/>
      <c r="F365" s="22">
        <v>0</v>
      </c>
      <c r="G365" s="24"/>
      <c r="H365" s="22">
        <v>-2368</v>
      </c>
      <c r="I365" s="23"/>
      <c r="J365" s="28"/>
      <c r="R365" s="76"/>
    </row>
    <row r="366" spans="1:18" ht="12.75">
      <c r="A366" s="2"/>
      <c r="B366" s="2" t="s">
        <v>173</v>
      </c>
      <c r="D366" s="58">
        <f>-3745+2394</f>
        <v>-1351</v>
      </c>
      <c r="E366" s="24"/>
      <c r="F366" s="22">
        <v>3046</v>
      </c>
      <c r="G366" s="24"/>
      <c r="H366" s="22">
        <v>-6113</v>
      </c>
      <c r="I366" s="23"/>
      <c r="J366" s="28"/>
      <c r="R366" s="76"/>
    </row>
    <row r="367" spans="1:18" ht="12.75">
      <c r="A367" s="4"/>
      <c r="B367" s="4" t="s">
        <v>0</v>
      </c>
      <c r="C367" s="2"/>
      <c r="D367" s="60">
        <f>SUM(D362:D366)</f>
        <v>6234</v>
      </c>
      <c r="E367" s="16"/>
      <c r="F367" s="29">
        <f>SUM(F362:F366)</f>
        <v>-7441</v>
      </c>
      <c r="G367" s="30"/>
      <c r="H367" s="29">
        <f>SUM(H362:H366)</f>
        <v>-8248</v>
      </c>
      <c r="I367" s="18"/>
      <c r="J367" s="30"/>
      <c r="R367" s="76"/>
    </row>
    <row r="368" ht="12.75"/>
    <row r="369" spans="1:18" ht="13.5" thickBot="1">
      <c r="A369" s="6" t="s">
        <v>207</v>
      </c>
      <c r="B369" s="6"/>
      <c r="C369" s="6"/>
      <c r="D369" s="20"/>
      <c r="E369" s="20"/>
      <c r="F369" s="20"/>
      <c r="G369" s="20"/>
      <c r="H369" s="20"/>
      <c r="R369" s="76"/>
    </row>
    <row r="370" spans="4:8" ht="12.75">
      <c r="D370" s="320" t="s">
        <v>249</v>
      </c>
      <c r="E370" s="320"/>
      <c r="F370" s="320"/>
      <c r="G370" s="32"/>
      <c r="H370" s="300" t="s">
        <v>6</v>
      </c>
    </row>
    <row r="371" spans="1:8" ht="12.75">
      <c r="A371" s="13" t="s">
        <v>7</v>
      </c>
      <c r="B371" s="13"/>
      <c r="D371" s="301">
        <v>2010</v>
      </c>
      <c r="E371" s="68"/>
      <c r="F371" s="302">
        <v>2009</v>
      </c>
      <c r="G371" s="32"/>
      <c r="H371" s="283">
        <v>2009</v>
      </c>
    </row>
    <row r="372" spans="1:8" ht="12.75" customHeight="1">
      <c r="A372" s="2" t="s">
        <v>209</v>
      </c>
      <c r="B372" s="65"/>
      <c r="D372" s="321" t="s">
        <v>5</v>
      </c>
      <c r="E372" s="321"/>
      <c r="F372" s="321"/>
      <c r="G372" s="321"/>
      <c r="H372" s="321"/>
    </row>
    <row r="373" spans="1:8" ht="12.75">
      <c r="A373" s="2"/>
      <c r="B373" s="2" t="s">
        <v>189</v>
      </c>
      <c r="C373" s="2"/>
      <c r="D373" s="57">
        <v>3000</v>
      </c>
      <c r="E373" s="28"/>
      <c r="F373" s="24">
        <v>5250</v>
      </c>
      <c r="G373" s="32"/>
      <c r="H373" s="24">
        <v>3000</v>
      </c>
    </row>
    <row r="374" spans="1:8" ht="12.75">
      <c r="A374" s="2"/>
      <c r="B374" s="2" t="s">
        <v>190</v>
      </c>
      <c r="C374" s="2"/>
      <c r="D374" s="58">
        <v>0</v>
      </c>
      <c r="E374" s="28"/>
      <c r="F374" s="22">
        <v>0</v>
      </c>
      <c r="G374" s="32"/>
      <c r="H374" s="22">
        <v>74024</v>
      </c>
    </row>
    <row r="375" spans="1:8" ht="12.75">
      <c r="A375" s="2"/>
      <c r="B375" s="2" t="s">
        <v>193</v>
      </c>
      <c r="C375" s="2"/>
      <c r="D375" s="58">
        <v>0</v>
      </c>
      <c r="E375" s="28"/>
      <c r="F375" s="22">
        <v>0</v>
      </c>
      <c r="G375" s="32"/>
      <c r="H375" s="22">
        <v>150268</v>
      </c>
    </row>
    <row r="376" spans="1:8" ht="12.75">
      <c r="A376" s="4"/>
      <c r="B376" s="4" t="s">
        <v>192</v>
      </c>
      <c r="D376" s="60">
        <f>SUM(D373:D375)</f>
        <v>3000</v>
      </c>
      <c r="E376" s="28"/>
      <c r="F376" s="29">
        <f>SUM(F373:F375)</f>
        <v>5250</v>
      </c>
      <c r="G376" s="32"/>
      <c r="H376" s="29">
        <f>SUM(H373:H375)</f>
        <v>227292</v>
      </c>
    </row>
    <row r="377" spans="1:8" ht="12.75">
      <c r="A377" s="2" t="s">
        <v>208</v>
      </c>
      <c r="D377" s="25"/>
      <c r="E377" s="32"/>
      <c r="F377" s="25"/>
      <c r="G377" s="32"/>
      <c r="H377" s="25"/>
    </row>
    <row r="378" spans="1:8" ht="12.75">
      <c r="A378" s="2"/>
      <c r="B378" s="2" t="s">
        <v>188</v>
      </c>
      <c r="C378" s="2"/>
      <c r="D378" s="57">
        <v>0</v>
      </c>
      <c r="E378" s="28"/>
      <c r="F378" s="24">
        <v>0</v>
      </c>
      <c r="G378" s="32"/>
      <c r="H378" s="24">
        <v>26008</v>
      </c>
    </row>
    <row r="379" spans="1:8" ht="12.75">
      <c r="A379" s="4"/>
      <c r="B379" s="4" t="s">
        <v>191</v>
      </c>
      <c r="D379" s="60">
        <f>SUM(D377:D378)</f>
        <v>0</v>
      </c>
      <c r="E379" s="28"/>
      <c r="F379" s="29">
        <f>SUM(F377:F378)</f>
        <v>0</v>
      </c>
      <c r="G379" s="32"/>
      <c r="H379" s="29">
        <f>SUM(H377:H378)</f>
        <v>26008</v>
      </c>
    </row>
    <row r="380" ht="12.75">
      <c r="A380" s="2" t="s">
        <v>251</v>
      </c>
    </row>
    <row r="382" ht="12.75">
      <c r="L382" s="279"/>
    </row>
    <row r="383" ht="15">
      <c r="A383" s="8" t="s">
        <v>210</v>
      </c>
    </row>
    <row r="384" spans="1:14" ht="13.5" thickBot="1">
      <c r="A384" s="6" t="s">
        <v>234</v>
      </c>
      <c r="B384" s="243"/>
      <c r="C384" s="243"/>
      <c r="D384" s="244"/>
      <c r="E384" s="276"/>
      <c r="F384" s="244"/>
      <c r="G384" s="244"/>
      <c r="H384" s="244"/>
      <c r="I384" s="244"/>
      <c r="J384" s="244"/>
      <c r="K384" s="276"/>
      <c r="L384" s="244"/>
      <c r="M384" s="25"/>
      <c r="N384" s="25"/>
    </row>
    <row r="385" spans="1:14" ht="12.75">
      <c r="A385" s="47"/>
      <c r="B385" s="13"/>
      <c r="D385" s="241" t="s">
        <v>230</v>
      </c>
      <c r="F385" s="241" t="s">
        <v>231</v>
      </c>
      <c r="G385" s="1"/>
      <c r="H385" s="241" t="s">
        <v>232</v>
      </c>
      <c r="I385"/>
      <c r="J385" s="56" t="s">
        <v>233</v>
      </c>
      <c r="K385" s="122"/>
      <c r="L385" s="56">
        <v>2009</v>
      </c>
      <c r="N385" s="32"/>
    </row>
    <row r="386" spans="1:14" ht="12.75">
      <c r="A386" s="245"/>
      <c r="B386" s="245"/>
      <c r="C386" s="245"/>
      <c r="D386" s="310" t="s">
        <v>5</v>
      </c>
      <c r="E386" s="310"/>
      <c r="F386" s="310"/>
      <c r="G386" s="310"/>
      <c r="H386" s="310"/>
      <c r="I386" s="310"/>
      <c r="J386" s="310"/>
      <c r="K386" s="310"/>
      <c r="L386" s="310"/>
      <c r="N386" s="32"/>
    </row>
    <row r="387" spans="1:14" ht="12.75">
      <c r="A387" s="246" t="s">
        <v>211</v>
      </c>
      <c r="B387" s="246"/>
      <c r="C387" s="247"/>
      <c r="D387" s="250">
        <v>390822</v>
      </c>
      <c r="E387" s="251"/>
      <c r="F387" s="250">
        <v>294270</v>
      </c>
      <c r="G387" s="251"/>
      <c r="H387" s="250">
        <v>361453</v>
      </c>
      <c r="I387" s="249"/>
      <c r="J387" s="248">
        <v>303657</v>
      </c>
      <c r="K387" s="251"/>
      <c r="L387" s="248">
        <f>SUM(D387:J387)</f>
        <v>1350202</v>
      </c>
      <c r="N387" s="251"/>
    </row>
    <row r="388" spans="1:14" ht="12.75">
      <c r="A388" s="252"/>
      <c r="B388" s="252" t="s">
        <v>7</v>
      </c>
      <c r="C388" s="247"/>
      <c r="D388" s="256"/>
      <c r="E388" s="277"/>
      <c r="F388" s="256"/>
      <c r="G388" s="256"/>
      <c r="H388" s="256"/>
      <c r="I388" s="254"/>
      <c r="J388" s="253" t="s">
        <v>212</v>
      </c>
      <c r="K388" s="255"/>
      <c r="L388" s="253"/>
      <c r="N388" s="277"/>
    </row>
    <row r="389" spans="1:14" ht="12.75">
      <c r="A389" s="252" t="s">
        <v>213</v>
      </c>
      <c r="B389" s="252"/>
      <c r="C389" s="247"/>
      <c r="D389" s="260">
        <v>164908</v>
      </c>
      <c r="E389" s="263"/>
      <c r="F389" s="260">
        <v>121461</v>
      </c>
      <c r="G389" s="260"/>
      <c r="H389" s="260">
        <v>175882</v>
      </c>
      <c r="I389" s="258"/>
      <c r="J389" s="257">
        <f>143529+200</f>
        <v>143729</v>
      </c>
      <c r="K389" s="259"/>
      <c r="L389" s="257">
        <f>SUM(D389:J389)</f>
        <v>605980</v>
      </c>
      <c r="N389" s="263"/>
    </row>
    <row r="390" spans="1:14" ht="12.75">
      <c r="A390" s="252" t="s">
        <v>214</v>
      </c>
      <c r="B390" s="252"/>
      <c r="C390" s="247"/>
      <c r="D390" s="260">
        <v>6040</v>
      </c>
      <c r="E390" s="278"/>
      <c r="F390" s="260">
        <v>6949</v>
      </c>
      <c r="G390" s="260"/>
      <c r="H390" s="260">
        <v>4643</v>
      </c>
      <c r="I390" s="261"/>
      <c r="J390" s="257">
        <v>5174</v>
      </c>
      <c r="K390" s="259"/>
      <c r="L390" s="257">
        <f>SUM(D390:J390)</f>
        <v>22806</v>
      </c>
      <c r="N390" s="263"/>
    </row>
    <row r="391" spans="1:14" ht="12.75">
      <c r="A391" s="247" t="s">
        <v>215</v>
      </c>
      <c r="B391" s="247"/>
      <c r="C391" s="247"/>
      <c r="D391" s="263">
        <v>13537</v>
      </c>
      <c r="E391" s="263"/>
      <c r="F391" s="263">
        <v>11713</v>
      </c>
      <c r="G391" s="263"/>
      <c r="H391" s="263">
        <v>10777</v>
      </c>
      <c r="I391" s="258"/>
      <c r="J391" s="262">
        <v>13243</v>
      </c>
      <c r="K391" s="258"/>
      <c r="L391" s="262">
        <f>SUM(D391:J391)</f>
        <v>49270</v>
      </c>
      <c r="N391" s="263"/>
    </row>
    <row r="392" spans="1:14" ht="12.75">
      <c r="A392" s="252" t="s">
        <v>216</v>
      </c>
      <c r="B392" s="252"/>
      <c r="C392" s="247"/>
      <c r="D392" s="260">
        <v>51150</v>
      </c>
      <c r="E392" s="278"/>
      <c r="F392" s="260">
        <v>72992</v>
      </c>
      <c r="G392" s="260"/>
      <c r="H392" s="260">
        <v>65067</v>
      </c>
      <c r="I392" s="261"/>
      <c r="J392" s="257">
        <v>96060</v>
      </c>
      <c r="K392" s="259"/>
      <c r="L392" s="257">
        <f>SUM(D392:J392)</f>
        <v>285269</v>
      </c>
      <c r="N392" s="263"/>
    </row>
    <row r="393" spans="1:14" ht="12.75">
      <c r="A393" s="252" t="s">
        <v>217</v>
      </c>
      <c r="B393" s="252"/>
      <c r="C393" s="247"/>
      <c r="D393" s="260">
        <v>50585</v>
      </c>
      <c r="E393" s="278"/>
      <c r="F393" s="260">
        <f>48138+83</f>
        <v>48221</v>
      </c>
      <c r="G393" s="260"/>
      <c r="H393" s="260">
        <v>52406</v>
      </c>
      <c r="I393" s="261"/>
      <c r="J393" s="257">
        <v>2403</v>
      </c>
      <c r="K393" s="259"/>
      <c r="L393" s="257">
        <f>SUM(D393:J393)</f>
        <v>153615</v>
      </c>
      <c r="N393" s="263"/>
    </row>
    <row r="394" spans="1:14" ht="12.75">
      <c r="A394" s="265"/>
      <c r="B394" s="265" t="s">
        <v>177</v>
      </c>
      <c r="C394" s="247"/>
      <c r="D394" s="267">
        <f>SUM(D389:D393)</f>
        <v>286220</v>
      </c>
      <c r="E394" s="263"/>
      <c r="F394" s="267">
        <f>SUM(F389:F393)</f>
        <v>261336</v>
      </c>
      <c r="G394" s="263"/>
      <c r="H394" s="267">
        <f>SUM(H389:H393)</f>
        <v>308775</v>
      </c>
      <c r="I394" s="258"/>
      <c r="J394" s="266">
        <f>SUM(J388:J393)</f>
        <v>260609</v>
      </c>
      <c r="K394" s="258"/>
      <c r="L394" s="266">
        <f>SUM(L388:L393)</f>
        <v>1116940</v>
      </c>
      <c r="N394" s="263"/>
    </row>
    <row r="395" spans="2:14" ht="12.75">
      <c r="B395" s="247" t="s">
        <v>218</v>
      </c>
      <c r="C395" s="247"/>
      <c r="D395" s="263">
        <f>+D387-D394</f>
        <v>104602</v>
      </c>
      <c r="E395" s="263"/>
      <c r="F395" s="263">
        <f>+F387-F394</f>
        <v>32934</v>
      </c>
      <c r="G395" s="263"/>
      <c r="H395" s="263">
        <f>+H387-H394</f>
        <v>52678</v>
      </c>
      <c r="I395" s="258">
        <f>+I387-I394</f>
        <v>0</v>
      </c>
      <c r="J395" s="262">
        <f>+J387-J394</f>
        <v>43048</v>
      </c>
      <c r="K395" s="263"/>
      <c r="L395" s="262">
        <f>+L387-L394</f>
        <v>233262</v>
      </c>
      <c r="N395" s="263"/>
    </row>
    <row r="396" spans="1:14" ht="12.75">
      <c r="A396" s="247" t="s">
        <v>219</v>
      </c>
      <c r="B396" s="247"/>
      <c r="C396" s="247"/>
      <c r="D396" s="263">
        <v>-376</v>
      </c>
      <c r="E396" s="263"/>
      <c r="F396" s="263">
        <v>-33</v>
      </c>
      <c r="G396" s="263"/>
      <c r="H396" s="263">
        <v>1626</v>
      </c>
      <c r="I396" s="258"/>
      <c r="J396" s="262">
        <v>684</v>
      </c>
      <c r="K396" s="263"/>
      <c r="L396" s="262">
        <f>SUM(D396:J396)</f>
        <v>1901</v>
      </c>
      <c r="N396" s="263"/>
    </row>
    <row r="397" spans="1:14" ht="12.75">
      <c r="A397" s="252" t="s">
        <v>220</v>
      </c>
      <c r="B397" s="252"/>
      <c r="C397" s="247"/>
      <c r="D397" s="263">
        <v>-11019</v>
      </c>
      <c r="E397" s="263"/>
      <c r="F397" s="263">
        <v>-9748</v>
      </c>
      <c r="G397" s="263"/>
      <c r="H397" s="263">
        <v>-10866</v>
      </c>
      <c r="I397" s="258"/>
      <c r="J397" s="262">
        <f>-14515+916</f>
        <v>-13599</v>
      </c>
      <c r="K397" s="263"/>
      <c r="L397" s="262">
        <f>SUM(D397:J397)</f>
        <v>-45232</v>
      </c>
      <c r="N397" s="263"/>
    </row>
    <row r="398" spans="1:14" ht="12.75">
      <c r="A398" s="247" t="s">
        <v>221</v>
      </c>
      <c r="B398" s="252"/>
      <c r="C398" s="247"/>
      <c r="D398" s="263">
        <v>1058</v>
      </c>
      <c r="E398" s="263"/>
      <c r="F398" s="263">
        <v>6320</v>
      </c>
      <c r="G398" s="263"/>
      <c r="H398" s="263">
        <v>14897</v>
      </c>
      <c r="I398" s="258"/>
      <c r="J398" s="262">
        <v>2214</v>
      </c>
      <c r="K398" s="263"/>
      <c r="L398" s="262">
        <f>SUM(D398:J398)</f>
        <v>24489</v>
      </c>
      <c r="N398" s="263"/>
    </row>
    <row r="399" spans="1:14" ht="12.75">
      <c r="A399" s="247" t="s">
        <v>222</v>
      </c>
      <c r="B399" s="252"/>
      <c r="C399" s="247"/>
      <c r="D399" s="263">
        <v>-1895</v>
      </c>
      <c r="E399" s="263"/>
      <c r="F399" s="263">
        <v>-1860</v>
      </c>
      <c r="G399" s="263"/>
      <c r="H399" s="263">
        <v>-3363</v>
      </c>
      <c r="I399" s="258"/>
      <c r="J399" s="262">
        <v>-3999</v>
      </c>
      <c r="K399" s="263"/>
      <c r="L399" s="262">
        <f>SUM(D399:J399)</f>
        <v>-11117</v>
      </c>
      <c r="N399" s="263"/>
    </row>
    <row r="400" spans="1:14" ht="12.75">
      <c r="A400" s="246" t="s">
        <v>223</v>
      </c>
      <c r="B400" s="246"/>
      <c r="C400" s="247"/>
      <c r="D400" s="264">
        <v>-2717</v>
      </c>
      <c r="E400" s="263"/>
      <c r="F400" s="264">
        <v>12561</v>
      </c>
      <c r="G400" s="263"/>
      <c r="H400" s="264">
        <v>13450</v>
      </c>
      <c r="I400" s="258"/>
      <c r="J400" s="268">
        <v>1512</v>
      </c>
      <c r="K400" s="263"/>
      <c r="L400" s="268">
        <f>SUM(D400:J400)</f>
        <v>24806</v>
      </c>
      <c r="N400" s="263"/>
    </row>
    <row r="401" spans="1:14" ht="12.75">
      <c r="A401" s="252" t="s">
        <v>7</v>
      </c>
      <c r="B401" s="252" t="s">
        <v>224</v>
      </c>
      <c r="C401" s="247"/>
      <c r="D401" s="260">
        <f>SUM(D395:D400)</f>
        <v>89653</v>
      </c>
      <c r="E401" s="263"/>
      <c r="F401" s="260">
        <f>SUM(F395:F400)</f>
        <v>40174</v>
      </c>
      <c r="G401" s="260"/>
      <c r="H401" s="260">
        <f>SUM(H395:H400)</f>
        <v>68422</v>
      </c>
      <c r="I401" s="258"/>
      <c r="J401" s="257">
        <f>SUM(J395:J400)</f>
        <v>29860</v>
      </c>
      <c r="K401" s="259"/>
      <c r="L401" s="257">
        <f>SUM(L395:L400)</f>
        <v>228109</v>
      </c>
      <c r="N401" s="263"/>
    </row>
    <row r="402" spans="1:16" ht="12.75">
      <c r="A402" s="246" t="s">
        <v>225</v>
      </c>
      <c r="B402" s="246"/>
      <c r="C402" s="247"/>
      <c r="D402" s="264">
        <f>25002+3046</f>
        <v>28048</v>
      </c>
      <c r="E402" s="263"/>
      <c r="F402" s="264">
        <f>3233+760</f>
        <v>3993</v>
      </c>
      <c r="G402" s="263"/>
      <c r="H402" s="264">
        <f>24380-8080</f>
        <v>16300</v>
      </c>
      <c r="I402" s="258"/>
      <c r="J402" s="268">
        <f>5155-1554</f>
        <v>3601</v>
      </c>
      <c r="K402" s="263"/>
      <c r="L402" s="268">
        <f>SUM(D402:J402)</f>
        <v>51942</v>
      </c>
      <c r="N402" s="263"/>
      <c r="P402" s="41"/>
    </row>
    <row r="403" spans="2:14" ht="12.75">
      <c r="B403" s="252" t="s">
        <v>226</v>
      </c>
      <c r="C403" s="247"/>
      <c r="D403" s="45">
        <f>+D401-D402</f>
        <v>61605</v>
      </c>
      <c r="E403" s="45"/>
      <c r="F403" s="45">
        <f>+F401-F402</f>
        <v>36181</v>
      </c>
      <c r="G403" s="45"/>
      <c r="H403" s="45">
        <f>+H401-H402</f>
        <v>52122</v>
      </c>
      <c r="I403" s="41"/>
      <c r="J403" s="61">
        <f>J401-J402</f>
        <v>26259</v>
      </c>
      <c r="K403" s="45"/>
      <c r="L403" s="61">
        <f>L401-L402</f>
        <v>176167</v>
      </c>
      <c r="N403" s="53"/>
    </row>
    <row r="404" spans="1:14" ht="12.75">
      <c r="A404" s="246" t="s">
        <v>227</v>
      </c>
      <c r="B404" s="246"/>
      <c r="C404" s="247"/>
      <c r="D404" s="264">
        <f>-10487+3046</f>
        <v>-7441</v>
      </c>
      <c r="E404" s="263"/>
      <c r="F404" s="264">
        <f>3099+1000+760</f>
        <v>4859</v>
      </c>
      <c r="G404" s="263"/>
      <c r="H404" s="264">
        <f>4123-418-8080</f>
        <v>-4375</v>
      </c>
      <c r="I404" s="258"/>
      <c r="J404" s="268">
        <f>263-1554</f>
        <v>-1291</v>
      </c>
      <c r="K404" s="263"/>
      <c r="L404" s="268">
        <f>SUM(D404:J404)</f>
        <v>-8248</v>
      </c>
      <c r="N404" s="263"/>
    </row>
    <row r="405" spans="1:14" ht="13.5" thickBot="1">
      <c r="A405" s="269"/>
      <c r="B405" s="269" t="s">
        <v>228</v>
      </c>
      <c r="C405" s="269"/>
      <c r="D405" s="272">
        <f>SUM(D403:D404)</f>
        <v>54164</v>
      </c>
      <c r="E405" s="272"/>
      <c r="F405" s="272">
        <f>SUM(F403:F404)</f>
        <v>41040</v>
      </c>
      <c r="G405" s="272"/>
      <c r="H405" s="272">
        <f>SUM(H403:H404)</f>
        <v>47747</v>
      </c>
      <c r="I405" s="271"/>
      <c r="J405" s="270">
        <f>SUM(J403:J404)</f>
        <v>24968</v>
      </c>
      <c r="K405" s="272"/>
      <c r="L405" s="270">
        <f>SUM(L403:L404)</f>
        <v>167919</v>
      </c>
      <c r="N405" s="179"/>
    </row>
    <row r="406" spans="1:14" ht="12.75">
      <c r="A406" s="177"/>
      <c r="B406" s="177"/>
      <c r="C406" s="177"/>
      <c r="D406" s="179"/>
      <c r="E406" s="179"/>
      <c r="F406" s="179"/>
      <c r="G406" s="179"/>
      <c r="H406" s="179"/>
      <c r="I406" s="180"/>
      <c r="J406" s="273"/>
      <c r="K406" s="179"/>
      <c r="L406" s="273"/>
      <c r="N406" s="179"/>
    </row>
    <row r="407" spans="1:14" ht="12.75">
      <c r="A407" s="246" t="s">
        <v>229</v>
      </c>
      <c r="B407" s="246"/>
      <c r="C407" s="247"/>
      <c r="D407" s="275">
        <v>0</v>
      </c>
      <c r="E407" s="277"/>
      <c r="F407" s="275">
        <v>-2</v>
      </c>
      <c r="G407" s="277"/>
      <c r="H407" s="275">
        <v>-1</v>
      </c>
      <c r="I407" s="254"/>
      <c r="J407" s="274">
        <v>2097</v>
      </c>
      <c r="K407" s="254"/>
      <c r="L407" s="274">
        <f>SUM(D407:J407)</f>
        <v>2094</v>
      </c>
      <c r="N407" s="277"/>
    </row>
    <row r="408" spans="1:14" ht="13.5" thickBot="1">
      <c r="A408" s="269"/>
      <c r="B408" s="269" t="s">
        <v>154</v>
      </c>
      <c r="C408" s="269"/>
      <c r="D408" s="272">
        <f>+D405-D407</f>
        <v>54164</v>
      </c>
      <c r="E408" s="272"/>
      <c r="F408" s="272">
        <f>+F405-F407</f>
        <v>41042</v>
      </c>
      <c r="G408" s="272"/>
      <c r="H408" s="272">
        <f>+H405-H407</f>
        <v>47748</v>
      </c>
      <c r="I408" s="271"/>
      <c r="J408" s="270">
        <f>+J405-J407</f>
        <v>22871</v>
      </c>
      <c r="K408" s="272"/>
      <c r="L408" s="270">
        <f>+L405-L407</f>
        <v>165825</v>
      </c>
      <c r="N408" s="179"/>
    </row>
    <row r="409" spans="1:14" ht="12.75">
      <c r="A409" s="279"/>
      <c r="N409" s="32"/>
    </row>
    <row r="410" ht="12.75">
      <c r="N410" s="32"/>
    </row>
  </sheetData>
  <sheetProtection/>
  <mergeCells count="62">
    <mergeCell ref="D358:F358"/>
    <mergeCell ref="D359:F359"/>
    <mergeCell ref="D370:F370"/>
    <mergeCell ref="D372:H372"/>
    <mergeCell ref="D345:F345"/>
    <mergeCell ref="D317:F317"/>
    <mergeCell ref="D319:H319"/>
    <mergeCell ref="D347:H347"/>
    <mergeCell ref="D361:H361"/>
    <mergeCell ref="D344:F344"/>
    <mergeCell ref="D316:F316"/>
    <mergeCell ref="D173:F173"/>
    <mergeCell ref="D160:F160"/>
    <mergeCell ref="D302:F302"/>
    <mergeCell ref="D235:F235"/>
    <mergeCell ref="D204:F204"/>
    <mergeCell ref="D246:F246"/>
    <mergeCell ref="D304:F304"/>
    <mergeCell ref="D203:F203"/>
    <mergeCell ref="D236:F236"/>
    <mergeCell ref="A1:M1"/>
    <mergeCell ref="A2:M2"/>
    <mergeCell ref="D116:F116"/>
    <mergeCell ref="D136:F136"/>
    <mergeCell ref="D135:F135"/>
    <mergeCell ref="D115:F115"/>
    <mergeCell ref="D40:F40"/>
    <mergeCell ref="D41:F41"/>
    <mergeCell ref="D70:F70"/>
    <mergeCell ref="D71:F71"/>
    <mergeCell ref="D43:H43"/>
    <mergeCell ref="D73:H73"/>
    <mergeCell ref="D107:H107"/>
    <mergeCell ref="D104:F104"/>
    <mergeCell ref="D105:F105"/>
    <mergeCell ref="D386:L386"/>
    <mergeCell ref="D174:F174"/>
    <mergeCell ref="D159:F159"/>
    <mergeCell ref="D150:H150"/>
    <mergeCell ref="D162:H162"/>
    <mergeCell ref="M174:N174"/>
    <mergeCell ref="M150:N150"/>
    <mergeCell ref="M235:N235"/>
    <mergeCell ref="D185:F185"/>
    <mergeCell ref="D187:F187"/>
    <mergeCell ref="M162:N162"/>
    <mergeCell ref="M173:N173"/>
    <mergeCell ref="M159:N159"/>
    <mergeCell ref="M160:N160"/>
    <mergeCell ref="M176:N176"/>
    <mergeCell ref="D176:H176"/>
    <mergeCell ref="D118:H118"/>
    <mergeCell ref="D138:H138"/>
    <mergeCell ref="D206:H206"/>
    <mergeCell ref="D147:F147"/>
    <mergeCell ref="D148:F148"/>
    <mergeCell ref="D247:F247"/>
    <mergeCell ref="D266:P266"/>
    <mergeCell ref="M238:N238"/>
    <mergeCell ref="M236:N236"/>
    <mergeCell ref="D238:H238"/>
    <mergeCell ref="D249:H249"/>
  </mergeCells>
  <printOptions horizontalCentered="1"/>
  <pageMargins left="0.47244094488189" right="0.236220472440945" top="0.511811023622047" bottom="0.36" header="0.31496062992126" footer="0.22"/>
  <pageSetup fitToHeight="4" horizontalDpi="600" verticalDpi="600" orientation="portrait" paperSize="9" scale="59" r:id="rId1"/>
  <headerFooter alignWithMargins="0">
    <oddFooter>&amp;RPage &amp;P</oddFooter>
  </headerFooter>
  <rowBreaks count="4" manualBreakCount="4">
    <brk id="101" max="15" man="1"/>
    <brk id="182" max="15" man="1"/>
    <brk id="260" max="15" man="1"/>
    <brk id="3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Q1_2009_Notes</dc:title>
  <dc:subject/>
  <dc:creator>Christin Steen-Nilsen</dc:creator>
  <cp:keywords/>
  <dc:description/>
  <cp:lastModifiedBy>anders.otnes</cp:lastModifiedBy>
  <cp:lastPrinted>2010-04-27T06:48:21Z</cp:lastPrinted>
  <dcterms:created xsi:type="dcterms:W3CDTF">2003-02-12T19:44:27Z</dcterms:created>
  <dcterms:modified xsi:type="dcterms:W3CDTF">2010-04-30T06:13:59Z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0x01010081390A9AFF24A14EB03BF4C660AC9674</vt:lpwstr>
  </property>
  <property fmtid="{D5CDD505-2E9C-101B-9397-08002B2CF9AE}" pid="6" name="Approved by">
    <vt:lpwstr/>
  </property>
  <property fmtid="{D5CDD505-2E9C-101B-9397-08002B2CF9AE}" pid="7" name="Approval date">
    <vt:lpwstr/>
  </property>
  <property fmtid="{D5CDD505-2E9C-101B-9397-08002B2CF9AE}" pid="8" name="Status">
    <vt:lpwstr>In Progress</vt:lpwstr>
  </property>
  <property fmtid="{D5CDD505-2E9C-101B-9397-08002B2CF9AE}" pid="9" name="Comments">
    <vt:lpwstr/>
  </property>
  <property fmtid="{D5CDD505-2E9C-101B-9397-08002B2CF9AE}" pid="10" name="Send a copy to Q1 2010">
    <vt:lpwstr>false</vt:lpwstr>
  </property>
</Properties>
</file>