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285" windowWidth="20730" windowHeight="6510"/>
  </bookViews>
  <sheets>
    <sheet name="IS &amp; OCI" sheetId="5" r:id="rId1"/>
    <sheet name="BS" sheetId="6" r:id="rId2"/>
    <sheet name="CF" sheetId="8" r:id="rId3"/>
    <sheet name="Equity" sheetId="9" r:id="rId4"/>
    <sheet name="Notes" sheetId="7" r:id="rId5"/>
  </sheets>
  <definedNames>
    <definedName name="_xlnm.Print_Area" localSheetId="1">BS!$A$1:$M$41</definedName>
    <definedName name="_xlnm.Print_Area" localSheetId="2">CF!$A$1:$P$36</definedName>
    <definedName name="_xlnm.Print_Area" localSheetId="3">Equity!$A$1:$N$23</definedName>
    <definedName name="_xlnm.Print_Area" localSheetId="0">'IS &amp; OCI'!$A$1:$P$28</definedName>
    <definedName name="_xlnm.Print_Area" localSheetId="4">Notes!$A$1:$O$236</definedName>
  </definedNames>
  <calcPr calcId="145621"/>
</workbook>
</file>

<file path=xl/calcChain.xml><?xml version="1.0" encoding="utf-8"?>
<calcChain xmlns="http://schemas.openxmlformats.org/spreadsheetml/2006/main">
  <c r="N90" i="7" l="1"/>
  <c r="L12" i="9"/>
  <c r="L9" i="5"/>
  <c r="H55" i="7" l="1"/>
  <c r="H58" i="7" s="1"/>
  <c r="H61" i="7" s="1"/>
  <c r="H59" i="7"/>
  <c r="J114" i="7" l="1"/>
  <c r="J55" i="7" l="1"/>
  <c r="G25" i="6" l="1"/>
  <c r="G24" i="6"/>
  <c r="N10" i="9" l="1"/>
  <c r="G11" i="6"/>
  <c r="J115" i="7" l="1"/>
  <c r="H9" i="5" l="1"/>
  <c r="F9" i="5"/>
  <c r="G28" i="6" l="1"/>
  <c r="J130" i="7" l="1"/>
  <c r="J129" i="7"/>
  <c r="J128" i="7"/>
  <c r="J127" i="7"/>
  <c r="J126" i="7"/>
  <c r="F131" i="7"/>
  <c r="J131" i="7" l="1"/>
  <c r="H202" i="7" l="1"/>
  <c r="H201" i="7"/>
  <c r="H198" i="7"/>
  <c r="J162" i="7"/>
  <c r="H204" i="7" l="1"/>
  <c r="J26" i="8"/>
  <c r="J32" i="8"/>
  <c r="J31" i="8"/>
  <c r="J30" i="8"/>
  <c r="J28" i="8"/>
  <c r="J27" i="8"/>
  <c r="J24" i="8"/>
  <c r="J23" i="8"/>
  <c r="J22" i="8"/>
  <c r="J21" i="8"/>
  <c r="J20" i="8"/>
  <c r="J19" i="8"/>
  <c r="J17" i="8"/>
  <c r="J16" i="8"/>
  <c r="J15" i="8"/>
  <c r="J14" i="8"/>
  <c r="J13" i="8"/>
  <c r="J12" i="8"/>
  <c r="J11" i="8"/>
  <c r="J8" i="8"/>
  <c r="L33" i="8"/>
  <c r="L34" i="8" s="1"/>
  <c r="L36" i="8" s="1"/>
  <c r="L25" i="8"/>
  <c r="L18" i="8"/>
  <c r="H15" i="5"/>
  <c r="J33" i="8" l="1"/>
  <c r="J25" i="8"/>
  <c r="I32" i="6"/>
  <c r="J17" i="5"/>
  <c r="L27" i="5"/>
  <c r="L20" i="5"/>
  <c r="L22" i="5" s="1"/>
  <c r="L28" i="5" s="1"/>
  <c r="L15" i="5"/>
  <c r="H236" i="7" l="1"/>
  <c r="L236" i="7"/>
  <c r="L228" i="7"/>
  <c r="J159" i="7"/>
  <c r="L131" i="7"/>
  <c r="L116" i="7"/>
  <c r="L104" i="7"/>
  <c r="H104" i="7"/>
  <c r="L91" i="7"/>
  <c r="H90" i="7"/>
  <c r="H91" i="7" s="1"/>
  <c r="L76" i="7"/>
  <c r="L58" i="7"/>
  <c r="L61" i="7" s="1"/>
  <c r="J90" i="7"/>
  <c r="J89" i="7"/>
  <c r="J161" i="7" s="1"/>
  <c r="J88" i="7"/>
  <c r="J75" i="7"/>
  <c r="J14" i="5" s="1"/>
  <c r="J73" i="7"/>
  <c r="J163" i="7" s="1"/>
  <c r="J71" i="7"/>
  <c r="J56" i="7"/>
  <c r="J91" i="7" l="1"/>
  <c r="J18" i="5" s="1"/>
  <c r="J235" i="7"/>
  <c r="J231" i="7"/>
  <c r="J227" i="7"/>
  <c r="J213" i="7"/>
  <c r="J103" i="7"/>
  <c r="J102" i="7"/>
  <c r="J101" i="7"/>
  <c r="J74" i="7"/>
  <c r="J13" i="5" s="1"/>
  <c r="J72" i="7"/>
  <c r="J12" i="5" s="1"/>
  <c r="J60" i="7"/>
  <c r="J10" i="5" s="1"/>
  <c r="J59" i="7"/>
  <c r="J9" i="5" s="1"/>
  <c r="J57" i="7"/>
  <c r="J11" i="5" s="1"/>
  <c r="J35" i="7"/>
  <c r="J34" i="7"/>
  <c r="J33" i="7"/>
  <c r="J158" i="7" s="1"/>
  <c r="L36" i="7"/>
  <c r="J32" i="7"/>
  <c r="J157" i="7" s="1"/>
  <c r="J160" i="7" s="1"/>
  <c r="J31" i="7"/>
  <c r="J15" i="5" l="1"/>
  <c r="J228" i="7"/>
  <c r="J25" i="5" s="1"/>
  <c r="J116" i="7"/>
  <c r="J236" i="7"/>
  <c r="J26" i="5" s="1"/>
  <c r="J104" i="7"/>
  <c r="J19" i="5" s="1"/>
  <c r="J76" i="7"/>
  <c r="J58" i="7"/>
  <c r="J61" i="7" s="1"/>
  <c r="J36" i="7"/>
  <c r="F10" i="5" l="1"/>
  <c r="F11" i="5" l="1"/>
  <c r="F236" i="7" l="1"/>
  <c r="F20" i="7" l="1"/>
  <c r="J20" i="7" s="1"/>
  <c r="F9" i="8" l="1"/>
  <c r="J9" i="8" s="1"/>
  <c r="F147" i="7" l="1"/>
  <c r="I37" i="6" l="1"/>
  <c r="I40" i="6" s="1"/>
  <c r="I28" i="6"/>
  <c r="I20" i="6"/>
  <c r="I12" i="6"/>
  <c r="I41" i="6" l="1"/>
  <c r="I21" i="6"/>
  <c r="K37" i="6"/>
  <c r="K40" i="6" s="1"/>
  <c r="K41" i="6" s="1"/>
  <c r="K32" i="6"/>
  <c r="K28" i="6"/>
  <c r="K16" i="6"/>
  <c r="K20" i="6" s="1"/>
  <c r="K12" i="6"/>
  <c r="K21" i="6" s="1"/>
  <c r="K11" i="6"/>
  <c r="H192" i="7" l="1"/>
  <c r="H178" i="7"/>
  <c r="H181" i="7" s="1"/>
  <c r="H147" i="7"/>
  <c r="H149" i="7" s="1"/>
  <c r="N236" i="7" l="1"/>
  <c r="J147" i="7"/>
  <c r="N104" i="7"/>
  <c r="N36" i="7"/>
  <c r="N18" i="8" l="1"/>
  <c r="G20" i="6"/>
  <c r="G12" i="6"/>
  <c r="H16" i="5"/>
  <c r="H20" i="5" s="1"/>
  <c r="G21" i="6" l="1"/>
  <c r="H76" i="7"/>
  <c r="N76" i="7"/>
  <c r="J204" i="7" l="1"/>
  <c r="N58" i="7" l="1"/>
  <c r="N61" i="7" s="1"/>
  <c r="N33" i="8" l="1"/>
  <c r="H33" i="8"/>
  <c r="F33" i="8"/>
  <c r="F13" i="5" l="1"/>
  <c r="F58" i="7"/>
  <c r="F61" i="7" s="1"/>
  <c r="F76" i="7" l="1"/>
  <c r="N25" i="8" l="1"/>
  <c r="N27" i="5"/>
  <c r="N15" i="5"/>
  <c r="N16" i="5" l="1"/>
  <c r="N20" i="5" s="1"/>
  <c r="N22" i="5" s="1"/>
  <c r="N28" i="5" s="1"/>
  <c r="N34" i="8"/>
  <c r="N36" i="8" s="1"/>
  <c r="J35" i="8" s="1"/>
  <c r="N11" i="7" l="1"/>
  <c r="F160" i="7" l="1"/>
  <c r="N161" i="7" l="1"/>
  <c r="H161" i="7"/>
  <c r="H25" i="8" l="1"/>
  <c r="F17" i="7" l="1"/>
  <c r="J17" i="7" s="1"/>
  <c r="F15" i="7"/>
  <c r="J15" i="7" s="1"/>
  <c r="H159" i="7" l="1"/>
  <c r="X14" i="5" l="1"/>
  <c r="F14" i="5"/>
  <c r="F12" i="5" l="1"/>
  <c r="F15" i="5" l="1"/>
  <c r="F159" i="7" l="1"/>
  <c r="F25" i="8"/>
  <c r="F26" i="5"/>
  <c r="J27" i="5" s="1"/>
  <c r="L21" i="9" s="1"/>
  <c r="H228" i="7"/>
  <c r="F228" i="7"/>
  <c r="H163" i="7"/>
  <c r="F163" i="7"/>
  <c r="F161" i="7"/>
  <c r="H158" i="7"/>
  <c r="F158" i="7"/>
  <c r="H157" i="7"/>
  <c r="H160" i="7" s="1"/>
  <c r="F157" i="7"/>
  <c r="H155" i="7"/>
  <c r="H131" i="7"/>
  <c r="F18" i="7"/>
  <c r="J18" i="7" s="1"/>
  <c r="H116" i="7"/>
  <c r="F116" i="7"/>
  <c r="F104" i="7"/>
  <c r="F19" i="5" s="1"/>
  <c r="F91" i="7"/>
  <c r="F18" i="5" s="1"/>
  <c r="F10" i="8" s="1"/>
  <c r="J10" i="8" s="1"/>
  <c r="H69" i="7"/>
  <c r="H36" i="7"/>
  <c r="F36" i="7"/>
  <c r="F9" i="7" s="1"/>
  <c r="F7" i="5" l="1"/>
  <c r="F10" i="7" s="1"/>
  <c r="J9" i="7"/>
  <c r="J7" i="5" s="1"/>
  <c r="H22" i="5"/>
  <c r="H7" i="8" s="1"/>
  <c r="H18" i="8" s="1"/>
  <c r="H34" i="8" s="1"/>
  <c r="H36" i="8" s="1"/>
  <c r="H27" i="5"/>
  <c r="F16" i="5"/>
  <c r="F25" i="5"/>
  <c r="F27" i="5" s="1"/>
  <c r="J21" i="5"/>
  <c r="F20" i="5" l="1"/>
  <c r="F13" i="7" s="1"/>
  <c r="J13" i="7" s="1"/>
  <c r="F11" i="7"/>
  <c r="J16" i="5"/>
  <c r="J10" i="7"/>
  <c r="H28" i="5"/>
  <c r="F12" i="7"/>
  <c r="J12" i="7" s="1"/>
  <c r="J20" i="5" l="1"/>
  <c r="J22" i="5" s="1"/>
  <c r="J21" i="9" s="1"/>
  <c r="J11" i="7"/>
  <c r="F22" i="5"/>
  <c r="J7" i="8" l="1"/>
  <c r="J18" i="8" s="1"/>
  <c r="J34" i="8" s="1"/>
  <c r="J36" i="8" s="1"/>
  <c r="J28" i="5"/>
  <c r="F28" i="5"/>
  <c r="F14" i="7"/>
  <c r="J14" i="7" s="1"/>
  <c r="F7" i="8"/>
  <c r="F18" i="8" l="1"/>
  <c r="F34" i="8" s="1"/>
  <c r="G32" i="6"/>
  <c r="F16" i="7" l="1"/>
  <c r="J16" i="7" s="1"/>
  <c r="N91" i="7"/>
  <c r="O205" i="7" l="1"/>
  <c r="F192" i="7" l="1"/>
  <c r="J192" i="7"/>
  <c r="N69" i="7" l="1"/>
  <c r="N228" i="7"/>
  <c r="N131" i="7" l="1"/>
  <c r="F178" i="7" l="1"/>
  <c r="F181" i="7" s="1"/>
  <c r="J178" i="7"/>
  <c r="J181" i="7" s="1"/>
  <c r="N20" i="9" l="1"/>
  <c r="N116" i="7" l="1"/>
  <c r="J149" i="7" l="1"/>
  <c r="D23" i="9" l="1"/>
  <c r="G34" i="6" s="1"/>
  <c r="F23" i="9"/>
  <c r="G35" i="6" s="1"/>
  <c r="H23" i="9"/>
  <c r="G36" i="6" s="1"/>
  <c r="G37" i="6" l="1"/>
  <c r="L23" i="9"/>
  <c r="G39" i="6" s="1"/>
  <c r="F149" i="7" l="1"/>
  <c r="N158" i="7" l="1"/>
  <c r="N159" i="7"/>
  <c r="N157" i="7" l="1"/>
  <c r="N163" i="7" l="1"/>
  <c r="J12" i="9" l="1"/>
  <c r="E23" i="9" l="1"/>
  <c r="G23" i="9"/>
  <c r="I23" i="9"/>
  <c r="K23" i="9"/>
  <c r="N22" i="9" l="1"/>
  <c r="N8" i="9"/>
  <c r="N9" i="9"/>
  <c r="N11" i="9"/>
  <c r="H12" i="9"/>
  <c r="F12" i="9"/>
  <c r="D12" i="9"/>
  <c r="N12" i="9" l="1"/>
  <c r="N155" i="7" l="1"/>
  <c r="J23" i="9" l="1"/>
  <c r="G38" i="6" l="1"/>
  <c r="G40" i="6" s="1"/>
  <c r="G41" i="6" s="1"/>
  <c r="N23" i="9"/>
  <c r="N21" i="9"/>
  <c r="F36" i="8" l="1"/>
  <c r="F204" i="7"/>
  <c r="F21" i="7" s="1"/>
  <c r="J21" i="7" s="1"/>
  <c r="F19" i="7" l="1"/>
  <c r="J19" i="7" s="1"/>
</calcChain>
</file>

<file path=xl/sharedStrings.xml><?xml version="1.0" encoding="utf-8"?>
<sst xmlns="http://schemas.openxmlformats.org/spreadsheetml/2006/main" count="457" uniqueCount="248">
  <si>
    <t xml:space="preserve"> </t>
  </si>
  <si>
    <t>December 31,</t>
  </si>
  <si>
    <t>Cash and cash equivalents</t>
  </si>
  <si>
    <t>Income taxes payable</t>
  </si>
  <si>
    <t>Other long-term liabilities</t>
  </si>
  <si>
    <t xml:space="preserve">Depreciation and amortization </t>
  </si>
  <si>
    <t>Quarter ended</t>
  </si>
  <si>
    <t>Other current assets</t>
  </si>
  <si>
    <t xml:space="preserve">   Total assets</t>
  </si>
  <si>
    <t>LIABILITIES AND SHAREHOLDERS' EQUITY</t>
  </si>
  <si>
    <t>Long-term debt</t>
  </si>
  <si>
    <t>Accounts payable</t>
  </si>
  <si>
    <t>ASSETS</t>
  </si>
  <si>
    <t>Interest expense</t>
  </si>
  <si>
    <t>Restricted cash</t>
  </si>
  <si>
    <t>Short-term debt and current portion of long-term debt</t>
  </si>
  <si>
    <t xml:space="preserve">   Total current liabilities</t>
  </si>
  <si>
    <t xml:space="preserve">Revenues </t>
  </si>
  <si>
    <t xml:space="preserve">          Total current assets</t>
  </si>
  <si>
    <t xml:space="preserve">          Total shareholders' equity</t>
  </si>
  <si>
    <t xml:space="preserve">    Total liabilities and shareholders' equity</t>
  </si>
  <si>
    <t>Year ended</t>
  </si>
  <si>
    <t>Total operating expenses</t>
  </si>
  <si>
    <t>Additional paid-in capital</t>
  </si>
  <si>
    <t xml:space="preserve">Accumulated earnings </t>
  </si>
  <si>
    <t xml:space="preserve">   Total long-term liabilities</t>
  </si>
  <si>
    <t>Goodwill</t>
  </si>
  <si>
    <t>Deferred tax liabilities</t>
  </si>
  <si>
    <t>Deferred tax assets</t>
  </si>
  <si>
    <t>Earnings per share, to ordinary equity holders of PGS ASA:</t>
  </si>
  <si>
    <t>- Basic</t>
  </si>
  <si>
    <t>Accounts receivable</t>
  </si>
  <si>
    <t>Accrued revenues and other receivables</t>
  </si>
  <si>
    <t>Property and equipment</t>
  </si>
  <si>
    <t>Other intangible assets</t>
  </si>
  <si>
    <t xml:space="preserve">     Total paid-in capital</t>
  </si>
  <si>
    <t xml:space="preserve">  </t>
  </si>
  <si>
    <t xml:space="preserve">Common stock; par value NOK 3; </t>
  </si>
  <si>
    <t xml:space="preserve">   Treasury shares, par value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</si>
  <si>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</si>
  <si>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</si>
  <si>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</si>
  <si>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</si>
  <si>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 xml:space="preserve"> Weighted average basic shares outstanding</t>
  </si>
  <si>
    <t>MultiClient library</t>
  </si>
  <si>
    <t xml:space="preserve">     Total</t>
  </si>
  <si>
    <t>Interest bearing receivables</t>
  </si>
  <si>
    <t>Restricted cash (current and long-term)</t>
  </si>
  <si>
    <t>Total comprehensive income</t>
  </si>
  <si>
    <t>equity</t>
  </si>
  <si>
    <t>capital</t>
  </si>
  <si>
    <t>par value</t>
  </si>
  <si>
    <t>Shareholders'</t>
  </si>
  <si>
    <t>earnings</t>
  </si>
  <si>
    <t>paid-in</t>
  </si>
  <si>
    <t>shares</t>
  </si>
  <si>
    <t>stock</t>
  </si>
  <si>
    <t>Accumulated</t>
  </si>
  <si>
    <t>Additional</t>
  </si>
  <si>
    <t>Treasury</t>
  </si>
  <si>
    <t>Common</t>
  </si>
  <si>
    <t>MultiClient late sales</t>
  </si>
  <si>
    <t xml:space="preserve">     MultiClient library, net</t>
  </si>
  <si>
    <t>Surveys in progress</t>
  </si>
  <si>
    <t xml:space="preserve">     Completed surveys</t>
  </si>
  <si>
    <t>Completed during 2011</t>
  </si>
  <si>
    <t>Completed during 2010</t>
  </si>
  <si>
    <t>The net book-value of the MultiClient library by year of completion is as follows:</t>
  </si>
  <si>
    <t xml:space="preserve">Other  </t>
  </si>
  <si>
    <t>Interest income</t>
  </si>
  <si>
    <t>Capitalized interest, construction in progress</t>
  </si>
  <si>
    <t>Capitalized interest, MultiClient library</t>
  </si>
  <si>
    <t>Interest expense, gross</t>
  </si>
  <si>
    <t>Amortization of MultiClient library</t>
  </si>
  <si>
    <t xml:space="preserve">Gross depreciation </t>
  </si>
  <si>
    <t>Capitalized development costs</t>
  </si>
  <si>
    <t>Research and development costs, gross</t>
  </si>
  <si>
    <t xml:space="preserve">     - Other</t>
  </si>
  <si>
    <t xml:space="preserve">     - MultiClient late sales</t>
  </si>
  <si>
    <t xml:space="preserve">     - MultiClient pre-funding</t>
  </si>
  <si>
    <t xml:space="preserve">     - Contract seismic</t>
  </si>
  <si>
    <t>Marine revenues by service type:</t>
  </si>
  <si>
    <t>Cash and cash equivalents at end of period</t>
  </si>
  <si>
    <t>Cash and cash equivalents at beginning of period</t>
  </si>
  <si>
    <t>Interest paid</t>
  </si>
  <si>
    <t>Purchase of treasury shares</t>
  </si>
  <si>
    <t>Investment in other intangible assets</t>
  </si>
  <si>
    <t>Investment in MultiClient library</t>
  </si>
  <si>
    <t>Increase (decrease) in accounts payable</t>
  </si>
  <si>
    <t>Other items</t>
  </si>
  <si>
    <t xml:space="preserve"> Income taxes paid</t>
  </si>
  <si>
    <t>Attributable to equity holders of PGS ASA</t>
  </si>
  <si>
    <t>Completed during 2012</t>
  </si>
  <si>
    <t xml:space="preserve">Dividend paid  </t>
  </si>
  <si>
    <t>Key figures MultiClient library:</t>
  </si>
  <si>
    <t>Summary of net interest bearing debt:</t>
  </si>
  <si>
    <t>Total comprehensive income to equity holders of PGS ASA</t>
  </si>
  <si>
    <t>Other long-term assets</t>
  </si>
  <si>
    <t xml:space="preserve">Condensed Consolidated Statements of Financial Position </t>
  </si>
  <si>
    <t>(Increase) decrease in accounts receivable, accrued revenues &amp; other receivables</t>
  </si>
  <si>
    <t>Investment in property and equipment</t>
  </si>
  <si>
    <t>Net cash (used in) provided by financing activities</t>
  </si>
  <si>
    <t>Condensed Consolidated Statements of Cash Flows</t>
  </si>
  <si>
    <t>Currency exchange gain (loss)</t>
  </si>
  <si>
    <t>Change in other long-term items related to operating activities</t>
  </si>
  <si>
    <t>Investment in other current -and long-term assets</t>
  </si>
  <si>
    <t>Completed during 2013</t>
  </si>
  <si>
    <t>(In millions of US dollars)</t>
  </si>
  <si>
    <t>(In millions US of dollars)</t>
  </si>
  <si>
    <t>- Diluted</t>
  </si>
  <si>
    <t xml:space="preserve"> Weighted average diluted shares outstanding</t>
  </si>
  <si>
    <t>Proceeds, net of deferred loan costs, from issuance of long-term debt</t>
  </si>
  <si>
    <t>MultiClient pre-funding revenue</t>
  </si>
  <si>
    <t>Interest expense consists of the following:</t>
  </si>
  <si>
    <t>Other financial expense, net</t>
  </si>
  <si>
    <t>Other financial expense, net consists of the following:</t>
  </si>
  <si>
    <t xml:space="preserve">                                                   </t>
  </si>
  <si>
    <t>Depreciation capitalized and deferred, net</t>
  </si>
  <si>
    <t>Adjustment for deferred loan costs (offset in long-term debt)</t>
  </si>
  <si>
    <t>Employee benefit plans</t>
  </si>
  <si>
    <t xml:space="preserve">         Total long-term assets</t>
  </si>
  <si>
    <t>Other comprehensive income</t>
  </si>
  <si>
    <t xml:space="preserve">Other </t>
  </si>
  <si>
    <t>comprehensive</t>
  </si>
  <si>
    <t>income</t>
  </si>
  <si>
    <t xml:space="preserve">     - Imaging</t>
  </si>
  <si>
    <t>Condensed Consolidated Statements of Changes in Shareholders' Equity</t>
  </si>
  <si>
    <t xml:space="preserve">Capitalized depreciation (non-cash) </t>
  </si>
  <si>
    <t>Increase in long-term restricted cash</t>
  </si>
  <si>
    <t>Net cash used in investing activities</t>
  </si>
  <si>
    <t xml:space="preserve"> Proceeds from sale and disposal of assets</t>
  </si>
  <si>
    <t>Accrued expenses and other current liabilities</t>
  </si>
  <si>
    <t>Change in other current items related to operating activities</t>
  </si>
  <si>
    <t>Revenues by service type:</t>
  </si>
  <si>
    <t>Net drawdown of Revolving Credit Facility</t>
  </si>
  <si>
    <t>Items that will not be reclassified to profit and loss</t>
  </si>
  <si>
    <t>Other comprehensive income for the period, net of tax</t>
  </si>
  <si>
    <t>Depreciation, amortization and impairment consists of the following:</t>
  </si>
  <si>
    <t>Current tax expense</t>
  </si>
  <si>
    <t>Seismic equipment</t>
  </si>
  <si>
    <t>Vessel upgrades/Yard</t>
  </si>
  <si>
    <t>Processing equipment</t>
  </si>
  <si>
    <t>Newbuilds</t>
  </si>
  <si>
    <t>Other</t>
  </si>
  <si>
    <t xml:space="preserve">Cash investment in MultiClient library </t>
  </si>
  <si>
    <t xml:space="preserve">Capitalized interest in MultiClient library </t>
  </si>
  <si>
    <t xml:space="preserve">Amortization of MultiClient library </t>
  </si>
  <si>
    <t>Secured</t>
  </si>
  <si>
    <t>Export credit financing, due 2025</t>
  </si>
  <si>
    <t>Export credit financing, due 2027</t>
  </si>
  <si>
    <t>Unsecured</t>
  </si>
  <si>
    <t>Senior notes, Coupon 7.375%, due 2018</t>
  </si>
  <si>
    <t>Less current portion</t>
  </si>
  <si>
    <t>Less deferred loan costs, net of debt premiums</t>
  </si>
  <si>
    <t>Total long-term debt</t>
  </si>
  <si>
    <t>Long term debt consists of the following:</t>
  </si>
  <si>
    <t>Undrawn facilities consists of the following:</t>
  </si>
  <si>
    <t xml:space="preserve">Export credit financing </t>
  </si>
  <si>
    <t>Bank facility (NOK 50 mill)</t>
  </si>
  <si>
    <t>Performance bond</t>
  </si>
  <si>
    <t>Gains (losses) arising during the period</t>
  </si>
  <si>
    <t>Prefunding as a percentage of MultiClient cash investment</t>
  </si>
  <si>
    <t>Contract</t>
  </si>
  <si>
    <t>MultiClient</t>
  </si>
  <si>
    <t>Steaming</t>
  </si>
  <si>
    <t>Yard</t>
  </si>
  <si>
    <t>Balance as of January 1, 2015</t>
  </si>
  <si>
    <t>Actuarial gains (losses) on defined benefit pensions plans</t>
  </si>
  <si>
    <t>Income tax effect on actuarial gains and losses</t>
  </si>
  <si>
    <t>Cash flow hedges</t>
  </si>
  <si>
    <t>Deferred tax on cash flow hedges</t>
  </si>
  <si>
    <t>Other comprehensive income (loss) of associated companies</t>
  </si>
  <si>
    <t>Translation adjustments and other</t>
  </si>
  <si>
    <t>Reclassification adjustments for losses (gains) included in profit and loss</t>
  </si>
  <si>
    <t>Items that may be subsequently reclassified to profit and loss</t>
  </si>
  <si>
    <t>Net cash provided by operating activities</t>
  </si>
  <si>
    <t xml:space="preserve">     Total revenues</t>
  </si>
  <si>
    <r>
      <t>Repayment of</t>
    </r>
    <r>
      <rPr>
        <strike/>
        <sz val="10"/>
        <color rgb="FFFF0000"/>
        <rFont val="Calibri"/>
        <family val="2"/>
      </rPr>
      <t xml:space="preserve"> long-term </t>
    </r>
    <r>
      <rPr>
        <sz val="10"/>
        <rFont val="Calibri"/>
        <family val="2"/>
      </rPr>
      <t>debt</t>
    </r>
  </si>
  <si>
    <r>
      <t>Net</t>
    </r>
    <r>
      <rPr>
        <strike/>
        <sz val="10"/>
        <color rgb="FFFF0000"/>
        <rFont val="Calibri"/>
        <family val="2"/>
      </rPr>
      <t xml:space="preserve"> increase (decrease)</t>
    </r>
    <r>
      <rPr>
        <sz val="10"/>
        <rFont val="Calibri"/>
        <family val="2"/>
      </rPr>
      <t xml:space="preserve"> in cash and cash equivalents</t>
    </r>
  </si>
  <si>
    <t>Completed during 2015</t>
  </si>
  <si>
    <t xml:space="preserve">Revolving credit facility, due 2018 </t>
  </si>
  <si>
    <t>Revolving credit facility, due 2018</t>
  </si>
  <si>
    <t>Net income (loss) to equity holders of PGS ASA</t>
  </si>
  <si>
    <t>Note 1 - Revenues</t>
  </si>
  <si>
    <t xml:space="preserve">Long-term debt </t>
  </si>
  <si>
    <t>Key Financial Figures</t>
  </si>
  <si>
    <t>(In millions of US dollars, except per share data)</t>
  </si>
  <si>
    <t>Revenues</t>
  </si>
  <si>
    <t>EBIT as reported</t>
  </si>
  <si>
    <t>Basic earnings per share ($ per share)</t>
  </si>
  <si>
    <t>Cash investment in MultiClient library</t>
  </si>
  <si>
    <t>Capital expenditures (whether paid or not)</t>
  </si>
  <si>
    <t xml:space="preserve">Total assets </t>
  </si>
  <si>
    <t>Net interest bearing debt</t>
  </si>
  <si>
    <r>
      <rPr>
        <sz val="8"/>
        <rFont val="Calibri"/>
        <family val="2"/>
      </rPr>
      <t>1)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Includes capital expenditure incurred, whether paid or not.</t>
    </r>
  </si>
  <si>
    <t>Capital expenditures 1) consists of the following:</t>
  </si>
  <si>
    <t>Impairment and loss on sale of long-term assets</t>
  </si>
  <si>
    <t xml:space="preserve">Other charges/(income) </t>
  </si>
  <si>
    <t>Loss (gain) on sale and retirement of assets</t>
  </si>
  <si>
    <t>Depreciation, amortization, impairment and loss on sale of long-term assets</t>
  </si>
  <si>
    <t>Stacked/standby</t>
  </si>
  <si>
    <t xml:space="preserve">Share of results from associated companies </t>
  </si>
  <si>
    <t>EBITDA (as defined, see note 13)</t>
  </si>
  <si>
    <t xml:space="preserve">    Other charges/(income)</t>
  </si>
  <si>
    <t xml:space="preserve">   issued and outstanding 239,579,996 shares </t>
  </si>
  <si>
    <t>Proceeds from sale of treasury shares/share issue</t>
  </si>
  <si>
    <t>Note 3 - Depreciation, amortization, impairments and other charges/(income)</t>
  </si>
  <si>
    <t>Note 2 - Net operating expenses excluding depreciation, amortization, impairments and other charges/(income)</t>
  </si>
  <si>
    <t>Completed during 2014</t>
  </si>
  <si>
    <t>Vessel allocation(1):</t>
  </si>
  <si>
    <r>
      <rPr>
        <sz val="8"/>
        <rFont val="Calibri"/>
        <family val="2"/>
      </rPr>
      <t>1)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The statistics exclude cold-stacked vessels.</t>
    </r>
  </si>
  <si>
    <t>December 31</t>
  </si>
  <si>
    <t>Balance as of January 1, 2016</t>
  </si>
  <si>
    <t>Completed during 2016</t>
  </si>
  <si>
    <t>Sellling, general and administrative costs</t>
  </si>
  <si>
    <t>Note 5 - Interest expense</t>
  </si>
  <si>
    <t>Note 6 - Other financial expense, net</t>
  </si>
  <si>
    <t>Note 7 - Income tax expense</t>
  </si>
  <si>
    <t>Note 8 - Property and equipment</t>
  </si>
  <si>
    <t>Note 9 - MultiClient library</t>
  </si>
  <si>
    <t>Note 10 - Liquidity and financing</t>
  </si>
  <si>
    <t>Note 11 - Earnings per share</t>
  </si>
  <si>
    <t>Note 4 - Share of results from associated companies</t>
  </si>
  <si>
    <t xml:space="preserve">Term loan B, Libor (min. 75 bp) + 250 Basis points, due 2021 </t>
  </si>
  <si>
    <t>Income tax expense (benefit)</t>
  </si>
  <si>
    <t xml:space="preserve"> Share of results in associated companies </t>
  </si>
  <si>
    <t>Income tax expense (benefit) consists of the following:</t>
  </si>
  <si>
    <t>Income (loss) before income tax expense</t>
  </si>
  <si>
    <t>Operating profit (loss)/EBIT</t>
  </si>
  <si>
    <t>Net income (loss) to equity holders</t>
  </si>
  <si>
    <t>EBIT ex. impairment and other charges/ (income)</t>
  </si>
  <si>
    <t>Note 12 - Other comprehensive income</t>
  </si>
  <si>
    <t>Changes to Other comprehensive income consists of the following:</t>
  </si>
  <si>
    <t>Cost of sales, gross</t>
  </si>
  <si>
    <t>Cash costs, gross</t>
  </si>
  <si>
    <t>Total</t>
  </si>
  <si>
    <t>Notes to the Condensed Interim Consolidated Financial Statements - Second Quarter 2016</t>
  </si>
  <si>
    <t>June 30,</t>
  </si>
  <si>
    <t>Six months ended</t>
  </si>
  <si>
    <t>For the six months ended June 30, 2015</t>
  </si>
  <si>
    <t>For the six months ended June 30, 2016</t>
  </si>
  <si>
    <t>Balance as of June 30, 2016</t>
  </si>
  <si>
    <t>Shares available for sale</t>
  </si>
  <si>
    <t>Dividend paid (1)</t>
  </si>
  <si>
    <t>(1) NOK 0.70 per share was paid as ordinary dividend for 2014</t>
  </si>
  <si>
    <t>Balance as of June 30, 2015</t>
  </si>
  <si>
    <t xml:space="preserve"> Condensed Consolidated Statements of Profit and Loss and Other Comprehensive Income</t>
  </si>
  <si>
    <t>Deferred tax expense (benefit)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</si>
</sst>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[Red]\(&quot;$&quot;#,##0\)"/>
    <numFmt numFmtId="165" formatCode="&quot;$&quot;#,##0.00_);[Red]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\ * #,##0_);_(&quot;$&quot;\ * \(#,##0\);_(&quot;$&quot;\ * &quot;-&quot;_);_(@_)"/>
    <numFmt numFmtId="173" formatCode="_(* #,##0_);_(* \(#,##0\);_(* &quot;-&quot;??_);_(@_)"/>
    <numFmt numFmtId="174" formatCode="_(&quot;$&quot;* #,##0_);_(&quot;$&quot;* \(#,##0\);_(&quot;$&quot;* &quot;-&quot;??_);_(@_)"/>
    <numFmt numFmtId="175" formatCode="_ * #,##0_ ;_ * \(#,##0\)_ ;_ * &quot;-&quot;_ ;_ @_ "/>
    <numFmt numFmtId="176" formatCode="_(* #,##0.0_);_(* \(#,##0.0\);_(* &quot;-&quot;??_);_(@_)"/>
    <numFmt numFmtId="177" formatCode="#,##0;[Red]\(#,##0\)"/>
    <numFmt numFmtId="178" formatCode="_(* #,##0,;_(* \(#,##0,\);_(* &quot;-&quot;_);_(@_)"/>
    <numFmt numFmtId="179" formatCode="_(* #,##0.0_);_(* \(#,##0.0\);_(* &quot;-&quot;_);_(@_)"/>
    <numFmt numFmtId="180" formatCode="_ * #,##0.0_ ;_ * \-#,##0.0_ ;_ * &quot;-&quot;?_ ;_ @_ "/>
  </numFmts>
  <fonts count="8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Univers 55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theme="3" tint="0.59999389629810485"/>
      <name val="Times New Roman"/>
      <family val="1"/>
    </font>
    <font>
      <sz val="10"/>
      <color theme="3" tint="0.59999389629810485"/>
      <name val="Arial"/>
      <family val="2"/>
    </font>
    <font>
      <sz val="8"/>
      <color theme="4" tint="-0.249977111117893"/>
      <name val="Arial"/>
      <family val="2"/>
    </font>
    <font>
      <sz val="8"/>
      <color theme="4" tint="-0.249977111117893"/>
      <name val="Times New Roman"/>
      <family val="1"/>
    </font>
    <font>
      <sz val="10"/>
      <color theme="3" tint="0.39997558519241921"/>
      <name val="Arial"/>
      <family val="2"/>
    </font>
    <font>
      <sz val="10"/>
      <color theme="3" tint="0.39997558519241921"/>
      <name val="Times New Roman"/>
      <family val="1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6"/>
      <name val="Univers (WN)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sz val="8"/>
      <color indexed="9"/>
      <name val="Arial"/>
      <family val="2"/>
    </font>
    <font>
      <sz val="8"/>
      <name val="Helv"/>
    </font>
    <font>
      <sz val="12"/>
      <name val="Times New Roman Cyr"/>
      <charset val="204"/>
    </font>
    <font>
      <b/>
      <sz val="9"/>
      <name val="Arial"/>
      <family val="2"/>
    </font>
    <font>
      <sz val="8"/>
      <color indexed="13"/>
      <name val="MS Sans Serif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Maiandra GD"/>
      <family val="2"/>
    </font>
    <font>
      <u/>
      <sz val="8"/>
      <color rgb="FF0000FF"/>
      <name val="Calibri"/>
      <family val="2"/>
      <scheme val="minor"/>
    </font>
    <font>
      <sz val="9"/>
      <color theme="1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name val="Helv"/>
    </font>
    <font>
      <sz val="24"/>
      <name val="Helv"/>
    </font>
    <font>
      <b/>
      <sz val="10"/>
      <name val="MS Sans Serif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strike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  <font>
      <i/>
      <sz val="10"/>
      <name val="Calibri"/>
      <family val="2"/>
    </font>
    <font>
      <sz val="14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8"/>
      <color theme="4" tint="-0.249977111117893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2"/>
      <name val="Calibri"/>
      <family val="2"/>
    </font>
    <font>
      <b/>
      <sz val="10"/>
      <color theme="3" tint="0.59999389629810485"/>
      <name val="Arial"/>
      <family val="2"/>
    </font>
    <font>
      <b/>
      <sz val="10"/>
      <color rgb="FF0070C0"/>
      <name val="Arial"/>
      <family val="2"/>
    </font>
    <font>
      <b/>
      <sz val="10"/>
      <color indexed="10"/>
      <name val="Arial"/>
      <family val="2"/>
    </font>
    <font>
      <b/>
      <sz val="9"/>
      <name val="Calibri"/>
      <family val="2"/>
    </font>
    <font>
      <i/>
      <sz val="9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  <fill>
      <patternFill patternType="solid">
        <fgColor rgb="FFF2F2F2"/>
        <bgColor indexed="64"/>
      </patternFill>
    </fill>
    <fill>
      <patternFill patternType="gray125">
        <fgColor indexed="8"/>
      </patternFill>
    </fill>
    <fill>
      <patternFill patternType="mediumGray">
        <fgColor indexed="22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393">
    <xf numFmtId="0" fontId="0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NumberFormat="0" applyAlignment="0" applyProtection="0"/>
    <xf numFmtId="0" fontId="37" fillId="0" borderId="0" applyNumberFormat="0" applyFill="0" applyBorder="0" applyAlignment="0"/>
    <xf numFmtId="0" fontId="38" fillId="0" borderId="0"/>
    <xf numFmtId="0" fontId="39" fillId="0" borderId="0"/>
    <xf numFmtId="0" fontId="38" fillId="0" borderId="0"/>
    <xf numFmtId="0" fontId="39" fillId="0" borderId="0"/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15" borderId="8" applyNumberFormat="0" applyProtection="0">
      <alignment vertical="center"/>
    </xf>
    <xf numFmtId="0" fontId="28" fillId="15" borderId="9" applyNumberFormat="0" applyProtection="0"/>
    <xf numFmtId="0" fontId="42" fillId="15" borderId="10" applyNumberFormat="0" applyProtection="0">
      <alignment vertical="center"/>
    </xf>
    <xf numFmtId="0" fontId="42" fillId="15" borderId="11" applyNumberFormat="0" applyProtection="0">
      <alignment vertical="center"/>
    </xf>
    <xf numFmtId="0" fontId="42" fillId="15" borderId="0" applyNumberFormat="0" applyProtection="0">
      <alignment vertical="center"/>
    </xf>
    <xf numFmtId="0" fontId="35" fillId="0" borderId="12" applyNumberFormat="0" applyProtection="0"/>
    <xf numFmtId="0" fontId="31" fillId="0" borderId="13" applyNumberFormat="0" applyProtection="0">
      <alignment horizontal="left" textRotation="90" wrapText="1"/>
    </xf>
    <xf numFmtId="0" fontId="43" fillId="15" borderId="0" applyNumberFormat="0" applyProtection="0"/>
    <xf numFmtId="0" fontId="44" fillId="0" borderId="0" applyNumberFormat="0" applyFill="0" applyBorder="0" applyAlignment="0" applyProtection="0"/>
    <xf numFmtId="0" fontId="45" fillId="0" borderId="0"/>
    <xf numFmtId="0" fontId="20" fillId="0" borderId="0"/>
    <xf numFmtId="0" fontId="17" fillId="0" borderId="0"/>
    <xf numFmtId="0" fontId="46" fillId="0" borderId="0"/>
    <xf numFmtId="0" fontId="36" fillId="0" borderId="0"/>
    <xf numFmtId="0" fontId="31" fillId="0" borderId="0"/>
    <xf numFmtId="177" fontId="47" fillId="16" borderId="0"/>
    <xf numFmtId="177" fontId="47" fillId="16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48" fillId="0" borderId="0"/>
    <xf numFmtId="168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8" fillId="0" borderId="0"/>
    <xf numFmtId="168" fontId="49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3" fontId="19" fillId="0" borderId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0" fillId="0" borderId="0" applyFont="0" applyFill="0" applyBorder="0" applyAlignment="0" applyProtection="0"/>
    <xf numFmtId="171" fontId="52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7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17" borderId="0">
      <alignment horizontal="right"/>
    </xf>
    <xf numFmtId="38" fontId="55" fillId="0" borderId="0"/>
    <xf numFmtId="38" fontId="56" fillId="0" borderId="0"/>
    <xf numFmtId="38" fontId="57" fillId="0" borderId="0"/>
    <xf numFmtId="38" fontId="58" fillId="0" borderId="0"/>
    <xf numFmtId="0" fontId="19" fillId="0" borderId="0"/>
    <xf numFmtId="0" fontId="19" fillId="0" borderId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37" fontId="60" fillId="18" borderId="0"/>
    <xf numFmtId="37" fontId="61" fillId="18" borderId="14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1" fillId="0" borderId="0"/>
    <xf numFmtId="0" fontId="2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8" fillId="0" borderId="0"/>
    <xf numFmtId="0" fontId="1" fillId="0" borderId="0"/>
    <xf numFmtId="0" fontId="1" fillId="0" borderId="0"/>
    <xf numFmtId="0" fontId="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2" fillId="0" borderId="1">
      <alignment horizontal="center"/>
    </xf>
    <xf numFmtId="3" fontId="59" fillId="0" borderId="0" applyFont="0" applyFill="0" applyBorder="0" applyAlignment="0" applyProtection="0"/>
    <xf numFmtId="0" fontId="59" fillId="19" borderId="0" applyNumberFormat="0" applyFont="0" applyBorder="0" applyAlignment="0" applyProtection="0"/>
    <xf numFmtId="0" fontId="17" fillId="2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31">
    <xf numFmtId="0" fontId="0" fillId="0" borderId="0" xfId="0"/>
    <xf numFmtId="0" fontId="3" fillId="0" borderId="0" xfId="0" applyFont="1"/>
    <xf numFmtId="173" fontId="3" fillId="0" borderId="0" xfId="1" applyNumberFormat="1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173" fontId="3" fillId="0" borderId="0" xfId="1" applyNumberFormat="1" applyFont="1" applyBorder="1" applyAlignment="1">
      <alignment horizontal="left"/>
    </xf>
    <xf numFmtId="0" fontId="0" fillId="0" borderId="1" xfId="0" applyBorder="1"/>
    <xf numFmtId="0" fontId="3" fillId="0" borderId="0" xfId="0" applyFont="1" applyBorder="1"/>
    <xf numFmtId="0" fontId="3" fillId="0" borderId="0" xfId="0" applyFont="1" applyAlignment="1"/>
    <xf numFmtId="0" fontId="7" fillId="0" borderId="0" xfId="0" applyFont="1" applyAlignment="1"/>
    <xf numFmtId="174" fontId="3" fillId="0" borderId="0" xfId="0" applyNumberFormat="1" applyFont="1"/>
    <xf numFmtId="166" fontId="3" fillId="0" borderId="0" xfId="0" applyNumberFormat="1" applyFont="1"/>
    <xf numFmtId="174" fontId="3" fillId="0" borderId="0" xfId="2" applyNumberFormat="1" applyFont="1" applyBorder="1"/>
    <xf numFmtId="166" fontId="3" fillId="0" borderId="0" xfId="0" applyNumberFormat="1" applyFont="1" applyFill="1"/>
    <xf numFmtId="173" fontId="6" fillId="0" borderId="0" xfId="1" applyNumberFormat="1" applyFont="1" applyBorder="1" applyAlignment="1">
      <alignment horizontal="left"/>
    </xf>
    <xf numFmtId="174" fontId="6" fillId="0" borderId="0" xfId="2" applyNumberFormat="1" applyFont="1" applyFill="1" applyBorder="1"/>
    <xf numFmtId="173" fontId="6" fillId="0" borderId="0" xfId="1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173" fontId="3" fillId="0" borderId="0" xfId="1" applyNumberFormat="1" applyFont="1" applyFill="1"/>
    <xf numFmtId="0" fontId="7" fillId="0" borderId="0" xfId="0" applyFont="1" applyBorder="1"/>
    <xf numFmtId="166" fontId="3" fillId="0" borderId="0" xfId="0" applyNumberFormat="1" applyFont="1" applyFill="1" applyBorder="1"/>
    <xf numFmtId="0" fontId="0" fillId="0" borderId="0" xfId="0" applyFill="1"/>
    <xf numFmtId="174" fontId="6" fillId="0" borderId="0" xfId="2" applyNumberFormat="1" applyFont="1" applyBorder="1"/>
    <xf numFmtId="172" fontId="8" fillId="0" borderId="0" xfId="0" applyNumberFormat="1" applyFont="1" applyFill="1"/>
    <xf numFmtId="0" fontId="8" fillId="0" borderId="0" xfId="0" applyFont="1"/>
    <xf numFmtId="0" fontId="8" fillId="0" borderId="0" xfId="0" applyFont="1" applyFill="1"/>
    <xf numFmtId="0" fontId="3" fillId="0" borderId="0" xfId="0" applyFont="1" applyFill="1" applyAlignment="1">
      <alignment horizontal="center"/>
    </xf>
    <xf numFmtId="175" fontId="3" fillId="0" borderId="0" xfId="1" applyNumberFormat="1" applyFont="1" applyBorder="1"/>
    <xf numFmtId="174" fontId="4" fillId="0" borderId="0" xfId="2" applyNumberFormat="1" applyFont="1" applyFill="1" applyBorder="1"/>
    <xf numFmtId="0" fontId="0" fillId="0" borderId="0" xfId="0" applyFill="1" applyBorder="1"/>
    <xf numFmtId="0" fontId="0" fillId="0" borderId="0" xfId="0" applyBorder="1"/>
    <xf numFmtId="173" fontId="3" fillId="0" borderId="0" xfId="1" applyNumberFormat="1" applyFont="1" applyFill="1" applyAlignment="1">
      <alignment horizontal="left"/>
    </xf>
    <xf numFmtId="173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11" fillId="0" borderId="0" xfId="0" applyFont="1"/>
    <xf numFmtId="3" fontId="3" fillId="0" borderId="0" xfId="0" applyNumberFormat="1" applyFont="1"/>
    <xf numFmtId="3" fontId="4" fillId="0" borderId="0" xfId="0" applyNumberFormat="1" applyFont="1"/>
    <xf numFmtId="168" fontId="3" fillId="0" borderId="0" xfId="0" applyNumberFormat="1" applyFont="1"/>
    <xf numFmtId="0" fontId="14" fillId="0" borderId="0" xfId="0" applyFont="1"/>
    <xf numFmtId="173" fontId="3" fillId="0" borderId="0" xfId="0" applyNumberFormat="1" applyFont="1"/>
    <xf numFmtId="0" fontId="3" fillId="0" borderId="0" xfId="3" applyFont="1"/>
    <xf numFmtId="0" fontId="3" fillId="0" borderId="0" xfId="3" applyFont="1" applyBorder="1"/>
    <xf numFmtId="0" fontId="2" fillId="0" borderId="0" xfId="3"/>
    <xf numFmtId="0" fontId="3" fillId="0" borderId="0" xfId="3" applyFont="1" applyBorder="1" applyAlignment="1">
      <alignment horizontal="center"/>
    </xf>
    <xf numFmtId="0" fontId="3" fillId="0" borderId="0" xfId="3" applyFont="1" applyBorder="1" applyAlignment="1"/>
    <xf numFmtId="0" fontId="2" fillId="0" borderId="0" xfId="3" applyBorder="1"/>
    <xf numFmtId="0" fontId="4" fillId="0" borderId="0" xfId="3" applyFont="1" applyFill="1" applyBorder="1"/>
    <xf numFmtId="0" fontId="2" fillId="0" borderId="0" xfId="3" applyFont="1" applyFill="1"/>
    <xf numFmtId="0" fontId="3" fillId="0" borderId="0" xfId="3" applyFont="1" applyFill="1" applyBorder="1"/>
    <xf numFmtId="175" fontId="3" fillId="0" borderId="0" xfId="3" applyNumberFormat="1" applyFont="1" applyFill="1"/>
    <xf numFmtId="0" fontId="3" fillId="0" borderId="0" xfId="3" applyFont="1" applyFill="1"/>
    <xf numFmtId="0" fontId="15" fillId="0" borderId="0" xfId="3" applyFont="1" applyAlignment="1">
      <alignment horizontal="left"/>
    </xf>
    <xf numFmtId="172" fontId="4" fillId="0" borderId="0" xfId="3" applyNumberFormat="1" applyFont="1" applyFill="1" applyBorder="1"/>
    <xf numFmtId="166" fontId="3" fillId="0" borderId="0" xfId="3" applyNumberFormat="1" applyFont="1" applyFill="1" applyBorder="1"/>
    <xf numFmtId="166" fontId="3" fillId="0" borderId="0" xfId="3" applyNumberFormat="1" applyFont="1" applyFill="1"/>
    <xf numFmtId="166" fontId="3" fillId="0" borderId="0" xfId="3" applyNumberFormat="1" applyFont="1"/>
    <xf numFmtId="172" fontId="3" fillId="0" borderId="0" xfId="3" applyNumberFormat="1" applyFont="1"/>
    <xf numFmtId="0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0" borderId="0" xfId="3" applyFont="1"/>
    <xf numFmtId="0" fontId="2" fillId="0" borderId="0" xfId="3" applyFill="1"/>
    <xf numFmtId="173" fontId="3" fillId="0" borderId="0" xfId="3" applyNumberFormat="1" applyFont="1"/>
    <xf numFmtId="172" fontId="3" fillId="0" borderId="0" xfId="3" applyNumberFormat="1" applyFont="1" applyBorder="1"/>
    <xf numFmtId="0" fontId="17" fillId="0" borderId="0" xfId="3" applyFont="1" applyFill="1" applyBorder="1"/>
    <xf numFmtId="0" fontId="3" fillId="0" borderId="2" xfId="3" applyFont="1" applyFill="1" applyBorder="1"/>
    <xf numFmtId="175" fontId="11" fillId="0" borderId="0" xfId="3" applyNumberFormat="1" applyFont="1" applyFill="1"/>
    <xf numFmtId="175" fontId="3" fillId="0" borderId="0" xfId="3" applyNumberFormat="1" applyFont="1" applyAlignment="1">
      <alignment horizontal="center"/>
    </xf>
    <xf numFmtId="175" fontId="3" fillId="0" borderId="0" xfId="3" applyNumberFormat="1" applyFont="1" applyBorder="1" applyAlignment="1">
      <alignment horizontal="center"/>
    </xf>
    <xf numFmtId="166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166" fontId="8" fillId="0" borderId="0" xfId="3" applyNumberFormat="1" applyFont="1"/>
    <xf numFmtId="166" fontId="4" fillId="0" borderId="0" xfId="3" applyNumberFormat="1" applyFont="1" applyFill="1" applyBorder="1"/>
    <xf numFmtId="0" fontId="11" fillId="0" borderId="0" xfId="3" applyFont="1"/>
    <xf numFmtId="0" fontId="8" fillId="0" borderId="0" xfId="3" applyFont="1" applyFill="1"/>
    <xf numFmtId="172" fontId="8" fillId="0" borderId="0" xfId="3" applyNumberFormat="1" applyFont="1" applyFill="1" applyBorder="1"/>
    <xf numFmtId="41" fontId="3" fillId="0" borderId="0" xfId="3" applyNumberFormat="1" applyFont="1"/>
    <xf numFmtId="172" fontId="2" fillId="0" borderId="0" xfId="3" applyNumberFormat="1" applyFill="1"/>
    <xf numFmtId="0" fontId="18" fillId="0" borderId="0" xfId="3" applyFont="1" applyFill="1"/>
    <xf numFmtId="172" fontId="18" fillId="0" borderId="0" xfId="3" applyNumberFormat="1" applyFont="1" applyFill="1" applyAlignment="1"/>
    <xf numFmtId="175" fontId="10" fillId="0" borderId="0" xfId="3" applyNumberFormat="1" applyFont="1" applyFill="1" applyBorder="1"/>
    <xf numFmtId="0" fontId="3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3" fillId="0" borderId="0" xfId="3" applyFont="1" applyAlignment="1">
      <alignment horizontal="centerContinuous"/>
    </xf>
    <xf numFmtId="0" fontId="14" fillId="0" borderId="0" xfId="0" quotePrefix="1" applyFont="1"/>
    <xf numFmtId="0" fontId="7" fillId="0" borderId="0" xfId="0" applyFont="1" applyFill="1" applyBorder="1"/>
    <xf numFmtId="174" fontId="16" fillId="0" borderId="0" xfId="2" applyNumberFormat="1" applyFont="1" applyFill="1" applyBorder="1"/>
    <xf numFmtId="174" fontId="16" fillId="0" borderId="0" xfId="2" applyNumberFormat="1" applyFont="1" applyBorder="1"/>
    <xf numFmtId="0" fontId="12" fillId="0" borderId="0" xfId="0" applyFont="1" applyBorder="1"/>
    <xf numFmtId="0" fontId="11" fillId="0" borderId="0" xfId="0" applyFont="1" applyBorder="1"/>
    <xf numFmtId="0" fontId="11" fillId="0" borderId="0" xfId="0" applyFont="1" applyFill="1"/>
    <xf numFmtId="0" fontId="12" fillId="0" borderId="0" xfId="0" applyFont="1" applyFill="1"/>
    <xf numFmtId="172" fontId="16" fillId="0" borderId="0" xfId="3" applyNumberFormat="1" applyFont="1" applyFill="1" applyBorder="1"/>
    <xf numFmtId="0" fontId="5" fillId="0" borderId="0" xfId="3" applyFont="1" applyFill="1" applyBorder="1" applyAlignment="1"/>
    <xf numFmtId="0" fontId="3" fillId="0" borderId="0" xfId="3" applyFont="1" applyFill="1" applyBorder="1" applyAlignment="1">
      <alignment horizontal="center"/>
    </xf>
    <xf numFmtId="176" fontId="3" fillId="0" borderId="0" xfId="1" applyNumberFormat="1" applyFont="1" applyFill="1"/>
    <xf numFmtId="0" fontId="3" fillId="0" borderId="0" xfId="3" applyFont="1" applyFill="1" applyBorder="1" applyAlignment="1"/>
    <xf numFmtId="176" fontId="3" fillId="0" borderId="0" xfId="1" applyNumberFormat="1" applyFont="1" applyFill="1" applyBorder="1"/>
    <xf numFmtId="176" fontId="3" fillId="0" borderId="0" xfId="1" applyNumberFormat="1" applyFont="1" applyBorder="1"/>
    <xf numFmtId="176" fontId="16" fillId="0" borderId="0" xfId="1" applyNumberFormat="1" applyFont="1" applyFill="1" applyBorder="1"/>
    <xf numFmtId="176" fontId="4" fillId="0" borderId="0" xfId="1" applyNumberFormat="1" applyFont="1" applyFill="1" applyBorder="1"/>
    <xf numFmtId="176" fontId="3" fillId="0" borderId="0" xfId="1" applyNumberFormat="1" applyFont="1"/>
    <xf numFmtId="176" fontId="11" fillId="0" borderId="0" xfId="1" applyNumberFormat="1" applyFont="1"/>
    <xf numFmtId="176" fontId="6" fillId="0" borderId="0" xfId="1" applyNumberFormat="1" applyFont="1" applyFill="1" applyBorder="1"/>
    <xf numFmtId="176" fontId="11" fillId="0" borderId="0" xfId="1" applyNumberFormat="1" applyFont="1" applyBorder="1"/>
    <xf numFmtId="0" fontId="24" fillId="0" borderId="0" xfId="3" applyFont="1" applyFill="1"/>
    <xf numFmtId="174" fontId="25" fillId="0" borderId="0" xfId="3" applyNumberFormat="1" applyFont="1" applyFill="1" applyBorder="1"/>
    <xf numFmtId="166" fontId="25" fillId="0" borderId="0" xfId="3" quotePrefix="1" applyNumberFormat="1" applyFont="1" applyFill="1" applyBorder="1"/>
    <xf numFmtId="0" fontId="9" fillId="0" borderId="0" xfId="0" applyFont="1" applyAlignment="1"/>
    <xf numFmtId="176" fontId="16" fillId="0" borderId="0" xfId="1" applyNumberFormat="1" applyFont="1" applyBorder="1"/>
    <xf numFmtId="0" fontId="3" fillId="0" borderId="0" xfId="0" applyFont="1" applyBorder="1" applyAlignment="1">
      <alignment horizontal="center"/>
    </xf>
    <xf numFmtId="175" fontId="26" fillId="0" borderId="0" xfId="0" applyNumberFormat="1" applyFont="1" applyBorder="1"/>
    <xf numFmtId="175" fontId="27" fillId="0" borderId="0" xfId="1" applyNumberFormat="1" applyFont="1" applyBorder="1"/>
    <xf numFmtId="16" fontId="3" fillId="0" borderId="0" xfId="3" quotePrefix="1" applyNumberFormat="1" applyFont="1" applyBorder="1" applyAlignment="1"/>
    <xf numFmtId="0" fontId="12" fillId="0" borderId="0" xfId="0" applyFont="1" applyFill="1" applyBorder="1"/>
    <xf numFmtId="168" fontId="3" fillId="0" borderId="0" xfId="1" applyFont="1"/>
    <xf numFmtId="0" fontId="28" fillId="0" borderId="0" xfId="0" applyFont="1" applyAlignment="1"/>
    <xf numFmtId="0" fontId="29" fillId="0" borderId="0" xfId="0" applyFont="1" applyBorder="1"/>
    <xf numFmtId="0" fontId="28" fillId="0" borderId="0" xfId="0" applyFont="1" applyBorder="1"/>
    <xf numFmtId="176" fontId="32" fillId="0" borderId="0" xfId="1" applyNumberFormat="1" applyFont="1" applyFill="1" applyBorder="1"/>
    <xf numFmtId="174" fontId="13" fillId="0" borderId="0" xfId="2" applyNumberFormat="1" applyFont="1" applyFill="1" applyBorder="1"/>
    <xf numFmtId="176" fontId="33" fillId="0" borderId="0" xfId="1" applyNumberFormat="1" applyFont="1" applyFill="1" applyBorder="1"/>
    <xf numFmtId="0" fontId="34" fillId="0" borderId="0" xfId="0" applyFont="1" applyFill="1" applyBorder="1"/>
    <xf numFmtId="0" fontId="34" fillId="0" borderId="0" xfId="0" applyFont="1" applyBorder="1"/>
    <xf numFmtId="0" fontId="16" fillId="0" borderId="0" xfId="3" applyFont="1" applyFill="1" applyBorder="1"/>
    <xf numFmtId="0" fontId="21" fillId="0" borderId="0" xfId="3" applyFont="1" applyFill="1" applyBorder="1"/>
    <xf numFmtId="0" fontId="11" fillId="0" borderId="0" xfId="0" applyFont="1" applyAlignment="1"/>
    <xf numFmtId="173" fontId="3" fillId="0" borderId="0" xfId="1" applyNumberFormat="1" applyFont="1"/>
    <xf numFmtId="173" fontId="4" fillId="0" borderId="0" xfId="1" applyNumberFormat="1" applyFont="1" applyFill="1" applyBorder="1"/>
    <xf numFmtId="176" fontId="3" fillId="0" borderId="0" xfId="0" applyNumberFormat="1" applyFont="1"/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/>
    <xf numFmtId="166" fontId="22" fillId="0" borderId="0" xfId="3" applyNumberFormat="1" applyFont="1" applyFill="1"/>
    <xf numFmtId="0" fontId="23" fillId="0" borderId="0" xfId="3" applyFont="1" applyFill="1"/>
    <xf numFmtId="178" fontId="2" fillId="0" borderId="0" xfId="392" applyNumberFormat="1" applyFont="1" applyFill="1" applyBorder="1"/>
    <xf numFmtId="16" fontId="3" fillId="0" borderId="0" xfId="3" applyNumberFormat="1" applyFont="1" applyBorder="1" applyAlignment="1"/>
    <xf numFmtId="0" fontId="29" fillId="0" borderId="0" xfId="0" applyFont="1" applyFill="1" applyBorder="1"/>
    <xf numFmtId="0" fontId="9" fillId="0" borderId="0" xfId="3" applyFont="1" applyAlignment="1">
      <alignment horizontal="center"/>
    </xf>
    <xf numFmtId="173" fontId="3" fillId="0" borderId="0" xfId="3" applyNumberFormat="1" applyFont="1" applyFill="1"/>
    <xf numFmtId="0" fontId="65" fillId="0" borderId="0" xfId="3" applyFont="1" applyFill="1" applyBorder="1"/>
    <xf numFmtId="0" fontId="64" fillId="0" borderId="0" xfId="3" applyFont="1" applyFill="1" applyBorder="1"/>
    <xf numFmtId="0" fontId="64" fillId="0" borderId="0" xfId="3" applyFont="1" applyFill="1"/>
    <xf numFmtId="0" fontId="64" fillId="0" borderId="2" xfId="3" applyFont="1" applyFill="1" applyBorder="1"/>
    <xf numFmtId="0" fontId="65" fillId="0" borderId="4" xfId="3" applyFont="1" applyFill="1" applyBorder="1"/>
    <xf numFmtId="0" fontId="67" fillId="0" borderId="2" xfId="3" applyFont="1" applyFill="1" applyBorder="1"/>
    <xf numFmtId="0" fontId="64" fillId="0" borderId="0" xfId="3" applyFont="1" applyFill="1" applyBorder="1" applyAlignment="1">
      <alignment horizontal="center"/>
    </xf>
    <xf numFmtId="0" fontId="64" fillId="0" borderId="0" xfId="3" applyFont="1" applyAlignment="1">
      <alignment horizontal="center"/>
    </xf>
    <xf numFmtId="166" fontId="64" fillId="0" borderId="0" xfId="3" applyNumberFormat="1" applyFont="1" applyAlignment="1">
      <alignment horizontal="center"/>
    </xf>
    <xf numFmtId="0" fontId="64" fillId="0" borderId="0" xfId="3" applyFont="1" applyBorder="1" applyAlignment="1">
      <alignment horizontal="center"/>
    </xf>
    <xf numFmtId="166" fontId="64" fillId="0" borderId="0" xfId="3" applyNumberFormat="1" applyFont="1" applyBorder="1" applyAlignment="1">
      <alignment horizontal="center"/>
    </xf>
    <xf numFmtId="175" fontId="64" fillId="0" borderId="2" xfId="3" applyNumberFormat="1" applyFont="1" applyBorder="1" applyAlignment="1">
      <alignment horizontal="center"/>
    </xf>
    <xf numFmtId="175" fontId="64" fillId="0" borderId="0" xfId="3" applyNumberFormat="1" applyFont="1" applyAlignment="1">
      <alignment horizontal="center"/>
    </xf>
    <xf numFmtId="175" fontId="64" fillId="0" borderId="0" xfId="3" applyNumberFormat="1" applyFont="1" applyBorder="1" applyAlignment="1">
      <alignment horizontal="center"/>
    </xf>
    <xf numFmtId="0" fontId="64" fillId="0" borderId="2" xfId="3" applyFont="1" applyBorder="1" applyAlignment="1">
      <alignment horizontal="center"/>
    </xf>
    <xf numFmtId="176" fontId="65" fillId="0" borderId="0" xfId="1" applyNumberFormat="1" applyFont="1" applyFill="1"/>
    <xf numFmtId="176" fontId="65" fillId="0" borderId="0" xfId="1" applyNumberFormat="1" applyFont="1" applyFill="1" applyBorder="1"/>
    <xf numFmtId="176" fontId="64" fillId="0" borderId="0" xfId="1" applyNumberFormat="1" applyFont="1" applyFill="1"/>
    <xf numFmtId="176" fontId="64" fillId="0" borderId="0" xfId="1" applyNumberFormat="1" applyFont="1" applyFill="1" applyBorder="1"/>
    <xf numFmtId="176" fontId="65" fillId="0" borderId="4" xfId="1" applyNumberFormat="1" applyFont="1" applyFill="1" applyBorder="1"/>
    <xf numFmtId="0" fontId="64" fillId="0" borderId="1" xfId="3" applyFont="1" applyBorder="1" applyAlignment="1">
      <alignment horizontal="center"/>
    </xf>
    <xf numFmtId="0" fontId="64" fillId="0" borderId="5" xfId="3" applyFont="1" applyBorder="1" applyAlignment="1">
      <alignment horizontal="center"/>
    </xf>
    <xf numFmtId="0" fontId="65" fillId="0" borderId="0" xfId="3" applyFont="1" applyBorder="1" applyAlignment="1">
      <alignment horizontal="center"/>
    </xf>
    <xf numFmtId="16" fontId="64" fillId="0" borderId="0" xfId="3" applyNumberFormat="1" applyFont="1" applyBorder="1" applyAlignment="1">
      <alignment horizontal="center"/>
    </xf>
    <xf numFmtId="0" fontId="67" fillId="0" borderId="1" xfId="3" applyFont="1" applyBorder="1" applyAlignment="1">
      <alignment horizontal="left"/>
    </xf>
    <xf numFmtId="0" fontId="65" fillId="0" borderId="1" xfId="3" applyFont="1" applyBorder="1" applyAlignment="1">
      <alignment horizontal="center"/>
    </xf>
    <xf numFmtId="0" fontId="64" fillId="0" borderId="1" xfId="3" applyFont="1" applyFill="1" applyBorder="1" applyAlignment="1">
      <alignment horizontal="center"/>
    </xf>
    <xf numFmtId="0" fontId="64" fillId="0" borderId="0" xfId="3" applyFont="1"/>
    <xf numFmtId="0" fontId="67" fillId="0" borderId="0" xfId="3" applyFont="1" applyFill="1" applyBorder="1" applyAlignment="1"/>
    <xf numFmtId="0" fontId="65" fillId="0" borderId="0" xfId="3" applyFont="1"/>
    <xf numFmtId="173" fontId="65" fillId="0" borderId="0" xfId="1" applyNumberFormat="1" applyFont="1" applyFill="1" applyAlignment="1"/>
    <xf numFmtId="173" fontId="64" fillId="0" borderId="0" xfId="1" applyNumberFormat="1" applyFont="1" applyFill="1" applyAlignment="1"/>
    <xf numFmtId="173" fontId="64" fillId="0" borderId="0" xfId="1" applyNumberFormat="1" applyFont="1" applyAlignment="1">
      <alignment horizontal="left"/>
    </xf>
    <xf numFmtId="176" fontId="64" fillId="0" borderId="0" xfId="1" applyNumberFormat="1" applyFont="1" applyBorder="1"/>
    <xf numFmtId="0" fontId="64" fillId="0" borderId="0" xfId="3" applyFont="1" applyFill="1" applyAlignment="1"/>
    <xf numFmtId="176" fontId="64" fillId="0" borderId="0" xfId="1" applyNumberFormat="1" applyFont="1"/>
    <xf numFmtId="0" fontId="64" fillId="0" borderId="0" xfId="3" applyFont="1" applyFill="1" applyAlignment="1">
      <alignment horizontal="left"/>
    </xf>
    <xf numFmtId="173" fontId="64" fillId="0" borderId="0" xfId="1" quotePrefix="1" applyNumberFormat="1" applyFont="1" applyBorder="1" applyAlignment="1">
      <alignment horizontal="left"/>
    </xf>
    <xf numFmtId="173" fontId="64" fillId="0" borderId="0" xfId="1" quotePrefix="1" applyNumberFormat="1" applyFont="1" applyFill="1" applyBorder="1" applyAlignment="1">
      <alignment horizontal="left"/>
    </xf>
    <xf numFmtId="0" fontId="65" fillId="0" borderId="4" xfId="3" applyFont="1" applyBorder="1"/>
    <xf numFmtId="173" fontId="65" fillId="0" borderId="4" xfId="1" applyNumberFormat="1" applyFont="1" applyBorder="1" applyAlignment="1">
      <alignment horizontal="left"/>
    </xf>
    <xf numFmtId="173" fontId="64" fillId="0" borderId="4" xfId="1" applyNumberFormat="1" applyFont="1" applyBorder="1" applyAlignment="1">
      <alignment horizontal="left"/>
    </xf>
    <xf numFmtId="173" fontId="65" fillId="0" borderId="0" xfId="1" applyNumberFormat="1" applyFont="1" applyBorder="1" applyAlignment="1">
      <alignment horizontal="left"/>
    </xf>
    <xf numFmtId="176" fontId="64" fillId="0" borderId="4" xfId="1" applyNumberFormat="1" applyFont="1" applyFill="1" applyBorder="1"/>
    <xf numFmtId="173" fontId="64" fillId="0" borderId="0" xfId="1" applyNumberFormat="1" applyFont="1" applyBorder="1" applyAlignment="1">
      <alignment horizontal="left"/>
    </xf>
    <xf numFmtId="173" fontId="65" fillId="0" borderId="0" xfId="1" applyNumberFormat="1" applyFont="1" applyAlignment="1">
      <alignment horizontal="left"/>
    </xf>
    <xf numFmtId="173" fontId="64" fillId="0" borderId="0" xfId="1" applyNumberFormat="1" applyFont="1" applyFill="1" applyAlignment="1">
      <alignment horizontal="left"/>
    </xf>
    <xf numFmtId="173" fontId="64" fillId="0" borderId="0" xfId="1" applyNumberFormat="1" applyFont="1" applyFill="1" applyBorder="1" applyAlignment="1">
      <alignment horizontal="left"/>
    </xf>
    <xf numFmtId="173" fontId="65" fillId="0" borderId="3" xfId="1" applyNumberFormat="1" applyFont="1" applyBorder="1" applyAlignment="1">
      <alignment horizontal="left"/>
    </xf>
    <xf numFmtId="176" fontId="65" fillId="0" borderId="3" xfId="1" applyNumberFormat="1" applyFont="1" applyFill="1" applyBorder="1"/>
    <xf numFmtId="176" fontId="71" fillId="0" borderId="0" xfId="1" applyNumberFormat="1" applyFont="1" applyBorder="1"/>
    <xf numFmtId="0" fontId="69" fillId="0" borderId="1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64" fillId="0" borderId="1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7" fillId="0" borderId="0" xfId="0" applyFont="1" applyBorder="1" applyAlignment="1"/>
    <xf numFmtId="0" fontId="64" fillId="0" borderId="0" xfId="0" applyFont="1" applyFill="1" applyBorder="1"/>
    <xf numFmtId="0" fontId="64" fillId="0" borderId="0" xfId="0" applyFont="1"/>
    <xf numFmtId="0" fontId="64" fillId="0" borderId="2" xfId="0" applyFont="1" applyFill="1" applyBorder="1"/>
    <xf numFmtId="176" fontId="64" fillId="0" borderId="2" xfId="1" applyNumberFormat="1" applyFont="1" applyFill="1" applyBorder="1"/>
    <xf numFmtId="0" fontId="64" fillId="0" borderId="1" xfId="0" applyFont="1" applyFill="1" applyBorder="1"/>
    <xf numFmtId="176" fontId="73" fillId="0" borderId="0" xfId="1" applyNumberFormat="1" applyFont="1" applyFill="1"/>
    <xf numFmtId="0" fontId="74" fillId="0" borderId="0" xfId="0" applyFont="1" applyFill="1" applyBorder="1"/>
    <xf numFmtId="0" fontId="69" fillId="0" borderId="1" xfId="0" applyFont="1" applyBorder="1"/>
    <xf numFmtId="0" fontId="69" fillId="0" borderId="1" xfId="0" applyFont="1" applyFill="1" applyBorder="1"/>
    <xf numFmtId="0" fontId="67" fillId="0" borderId="1" xfId="0" applyFont="1" applyBorder="1" applyAlignment="1"/>
    <xf numFmtId="0" fontId="73" fillId="0" borderId="0" xfId="0" applyFont="1" applyBorder="1" applyAlignment="1">
      <alignment horizontal="center"/>
    </xf>
    <xf numFmtId="173" fontId="65" fillId="0" borderId="0" xfId="1" applyNumberFormat="1" applyFont="1" applyBorder="1" applyAlignment="1">
      <alignment horizontal="center"/>
    </xf>
    <xf numFmtId="176" fontId="65" fillId="0" borderId="0" xfId="1" applyNumberFormat="1" applyFont="1" applyBorder="1"/>
    <xf numFmtId="0" fontId="65" fillId="0" borderId="0" xfId="0" applyFont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0" xfId="0" applyFont="1" applyBorder="1"/>
    <xf numFmtId="0" fontId="30" fillId="0" borderId="0" xfId="0" applyFont="1" applyBorder="1"/>
    <xf numFmtId="0" fontId="17" fillId="0" borderId="0" xfId="0" applyFont="1"/>
    <xf numFmtId="0" fontId="21" fillId="0" borderId="0" xfId="0" applyFont="1" applyFill="1"/>
    <xf numFmtId="0" fontId="64" fillId="0" borderId="0" xfId="3" applyFont="1" applyBorder="1"/>
    <xf numFmtId="0" fontId="68" fillId="0" borderId="0" xfId="0" applyFont="1" applyAlignment="1">
      <alignment horizontal="left"/>
    </xf>
    <xf numFmtId="0" fontId="69" fillId="0" borderId="0" xfId="3" applyFont="1" applyAlignment="1">
      <alignment horizontal="left"/>
    </xf>
    <xf numFmtId="0" fontId="69" fillId="0" borderId="0" xfId="3" applyFont="1" applyFill="1" applyAlignment="1">
      <alignment horizontal="left"/>
    </xf>
    <xf numFmtId="0" fontId="69" fillId="0" borderId="0" xfId="0" applyFont="1" applyAlignment="1">
      <alignment horizontal="left"/>
    </xf>
    <xf numFmtId="0" fontId="64" fillId="0" borderId="1" xfId="3" applyFont="1" applyFill="1" applyBorder="1"/>
    <xf numFmtId="0" fontId="72" fillId="0" borderId="0" xfId="3" applyFont="1" applyFill="1" applyBorder="1"/>
    <xf numFmtId="0" fontId="72" fillId="0" borderId="0" xfId="3" applyFont="1" applyFill="1"/>
    <xf numFmtId="0" fontId="67" fillId="0" borderId="2" xfId="3" applyFont="1" applyFill="1" applyBorder="1" applyAlignment="1">
      <alignment horizontal="left"/>
    </xf>
    <xf numFmtId="0" fontId="72" fillId="0" borderId="2" xfId="3" applyFont="1" applyFill="1" applyBorder="1"/>
    <xf numFmtId="0" fontId="64" fillId="0" borderId="0" xfId="3" applyNumberFormat="1" applyFont="1" applyFill="1" applyAlignment="1">
      <alignment horizontal="center"/>
    </xf>
    <xf numFmtId="0" fontId="64" fillId="0" borderId="2" xfId="3" applyNumberFormat="1" applyFont="1" applyFill="1" applyBorder="1" applyAlignment="1">
      <alignment horizontal="center"/>
    </xf>
    <xf numFmtId="176" fontId="72" fillId="0" borderId="0" xfId="1" applyNumberFormat="1" applyFont="1" applyFill="1" applyAlignment="1"/>
    <xf numFmtId="176" fontId="64" fillId="0" borderId="0" xfId="1" applyNumberFormat="1" applyFont="1" applyFill="1" applyAlignment="1"/>
    <xf numFmtId="176" fontId="72" fillId="0" borderId="0" xfId="1" applyNumberFormat="1" applyFont="1" applyFill="1" applyBorder="1" applyAlignment="1"/>
    <xf numFmtId="176" fontId="64" fillId="0" borderId="2" xfId="1" applyNumberFormat="1" applyFont="1" applyFill="1" applyBorder="1" applyAlignment="1"/>
    <xf numFmtId="168" fontId="65" fillId="0" borderId="0" xfId="1" applyFont="1" applyFill="1" applyBorder="1"/>
    <xf numFmtId="175" fontId="72" fillId="0" borderId="0" xfId="3" applyNumberFormat="1" applyFont="1" applyFill="1" applyBorder="1"/>
    <xf numFmtId="175" fontId="77" fillId="0" borderId="0" xfId="3" applyNumberFormat="1" applyFont="1" applyFill="1" applyBorder="1"/>
    <xf numFmtId="172" fontId="64" fillId="0" borderId="0" xfId="3" applyNumberFormat="1" applyFont="1" applyFill="1" applyBorder="1"/>
    <xf numFmtId="172" fontId="64" fillId="0" borderId="0" xfId="3" applyNumberFormat="1" applyFont="1" applyFill="1"/>
    <xf numFmtId="166" fontId="64" fillId="0" borderId="0" xfId="3" applyNumberFormat="1" applyFont="1" applyFill="1"/>
    <xf numFmtId="172" fontId="65" fillId="0" borderId="0" xfId="3" applyNumberFormat="1" applyFont="1" applyFill="1" applyBorder="1"/>
    <xf numFmtId="172" fontId="72" fillId="0" borderId="0" xfId="3" applyNumberFormat="1" applyFont="1" applyFill="1" applyBorder="1"/>
    <xf numFmtId="172" fontId="72" fillId="0" borderId="0" xfId="3" applyNumberFormat="1" applyFont="1" applyFill="1"/>
    <xf numFmtId="0" fontId="67" fillId="0" borderId="2" xfId="3" applyFont="1" applyBorder="1"/>
    <xf numFmtId="0" fontId="68" fillId="0" borderId="0" xfId="3" applyFont="1" applyFill="1" applyAlignment="1">
      <alignment horizontal="left"/>
    </xf>
    <xf numFmtId="166" fontId="72" fillId="0" borderId="0" xfId="3" applyNumberFormat="1" applyFont="1"/>
    <xf numFmtId="166" fontId="64" fillId="0" borderId="0" xfId="3" applyNumberFormat="1" applyFont="1" applyFill="1" applyBorder="1"/>
    <xf numFmtId="0" fontId="64" fillId="0" borderId="0" xfId="3" quotePrefix="1" applyNumberFormat="1" applyFont="1" applyFill="1" applyBorder="1" applyAlignment="1">
      <alignment horizontal="center"/>
    </xf>
    <xf numFmtId="174" fontId="64" fillId="0" borderId="0" xfId="3" applyNumberFormat="1" applyFont="1" applyFill="1" applyBorder="1"/>
    <xf numFmtId="0" fontId="79" fillId="0" borderId="0" xfId="3" applyFont="1" applyFill="1" applyAlignment="1">
      <alignment horizontal="left"/>
    </xf>
    <xf numFmtId="0" fontId="79" fillId="0" borderId="0" xfId="3" applyFont="1" applyFill="1" applyBorder="1" applyAlignment="1">
      <alignment horizontal="left"/>
    </xf>
    <xf numFmtId="175" fontId="64" fillId="0" borderId="0" xfId="3" applyNumberFormat="1" applyFont="1" applyFill="1" applyBorder="1"/>
    <xf numFmtId="166" fontId="73" fillId="0" borderId="0" xfId="3" applyNumberFormat="1" applyFont="1" applyFill="1" applyBorder="1"/>
    <xf numFmtId="172" fontId="71" fillId="0" borderId="0" xfId="3" applyNumberFormat="1" applyFont="1" applyFill="1" applyBorder="1"/>
    <xf numFmtId="166" fontId="72" fillId="0" borderId="0" xfId="3" applyNumberFormat="1" applyFont="1" applyFill="1"/>
    <xf numFmtId="166" fontId="64" fillId="0" borderId="0" xfId="3" applyNumberFormat="1" applyFont="1" applyFill="1" applyAlignment="1">
      <alignment horizontal="center"/>
    </xf>
    <xf numFmtId="166" fontId="72" fillId="0" borderId="0" xfId="3" applyNumberFormat="1" applyFont="1" applyFill="1" applyBorder="1"/>
    <xf numFmtId="166" fontId="64" fillId="0" borderId="1" xfId="3" applyNumberFormat="1" applyFont="1" applyFill="1" applyBorder="1"/>
    <xf numFmtId="0" fontId="67" fillId="0" borderId="0" xfId="3" applyFont="1" applyFill="1" applyBorder="1"/>
    <xf numFmtId="0" fontId="64" fillId="0" borderId="1" xfId="3" applyFont="1" applyFill="1" applyBorder="1" applyAlignment="1">
      <alignment horizontal="left"/>
    </xf>
    <xf numFmtId="166" fontId="65" fillId="0" borderId="0" xfId="3" applyNumberFormat="1" applyFont="1" applyFill="1" applyBorder="1"/>
    <xf numFmtId="9" fontId="64" fillId="0" borderId="0" xfId="1" applyNumberFormat="1" applyFont="1" applyFill="1"/>
    <xf numFmtId="166" fontId="79" fillId="0" borderId="0" xfId="3" quotePrefix="1" applyNumberFormat="1" applyFont="1" applyFill="1" applyBorder="1"/>
    <xf numFmtId="166" fontId="79" fillId="0" borderId="0" xfId="3" applyNumberFormat="1" applyFont="1" applyFill="1" applyBorder="1"/>
    <xf numFmtId="0" fontId="80" fillId="0" borderId="0" xfId="3" quotePrefix="1" applyFont="1" applyFill="1" applyBorder="1"/>
    <xf numFmtId="0" fontId="80" fillId="0" borderId="0" xfId="3" applyFont="1" applyFill="1" applyBorder="1"/>
    <xf numFmtId="176" fontId="73" fillId="0" borderId="0" xfId="1" applyNumberFormat="1" applyFont="1" applyFill="1" applyBorder="1"/>
    <xf numFmtId="0" fontId="82" fillId="0" borderId="0" xfId="3" applyFont="1" applyFill="1" applyBorder="1"/>
    <xf numFmtId="0" fontId="68" fillId="0" borderId="0" xfId="3" applyFont="1" applyFill="1" applyBorder="1" applyAlignment="1">
      <alignment horizontal="left"/>
    </xf>
    <xf numFmtId="0" fontId="72" fillId="0" borderId="0" xfId="3" applyFont="1"/>
    <xf numFmtId="166" fontId="72" fillId="0" borderId="1" xfId="3" applyNumberFormat="1" applyFont="1" applyFill="1" applyBorder="1"/>
    <xf numFmtId="172" fontId="64" fillId="21" borderId="0" xfId="3" applyNumberFormat="1" applyFont="1" applyFill="1"/>
    <xf numFmtId="0" fontId="64" fillId="0" borderId="0" xfId="3" applyFont="1" applyFill="1" applyAlignment="1">
      <alignment wrapText="1"/>
    </xf>
    <xf numFmtId="166" fontId="64" fillId="21" borderId="0" xfId="3" applyNumberFormat="1" applyFont="1" applyFill="1"/>
    <xf numFmtId="172" fontId="65" fillId="0" borderId="0" xfId="3" applyNumberFormat="1" applyFont="1" applyFill="1"/>
    <xf numFmtId="0" fontId="80" fillId="0" borderId="0" xfId="3" applyFont="1"/>
    <xf numFmtId="0" fontId="64" fillId="21" borderId="0" xfId="3" applyFont="1" applyFill="1"/>
    <xf numFmtId="0" fontId="82" fillId="0" borderId="0" xfId="3" quotePrefix="1" applyFont="1" applyFill="1" applyBorder="1"/>
    <xf numFmtId="176" fontId="65" fillId="0" borderId="1" xfId="1" applyNumberFormat="1" applyFont="1" applyFill="1" applyBorder="1"/>
    <xf numFmtId="172" fontId="65" fillId="0" borderId="1" xfId="3" applyNumberFormat="1" applyFont="1" applyFill="1" applyBorder="1"/>
    <xf numFmtId="176" fontId="64" fillId="0" borderId="1" xfId="1" applyNumberFormat="1" applyFont="1" applyFill="1" applyBorder="1"/>
    <xf numFmtId="173" fontId="65" fillId="0" borderId="0" xfId="1" applyNumberFormat="1" applyFont="1" applyFill="1" applyBorder="1" applyAlignment="1">
      <alignment horizontal="left"/>
    </xf>
    <xf numFmtId="173" fontId="77" fillId="0" borderId="0" xfId="1" applyNumberFormat="1" applyFont="1" applyFill="1" applyBorder="1" applyAlignment="1">
      <alignment horizontal="left"/>
    </xf>
    <xf numFmtId="166" fontId="64" fillId="0" borderId="0" xfId="0" applyNumberFormat="1" applyFont="1" applyFill="1" applyBorder="1"/>
    <xf numFmtId="173" fontId="64" fillId="0" borderId="0" xfId="1" applyNumberFormat="1" applyFont="1" applyFill="1" applyBorder="1" applyAlignment="1">
      <alignment horizontal="center"/>
    </xf>
    <xf numFmtId="167" fontId="64" fillId="0" borderId="0" xfId="2" applyNumberFormat="1" applyFont="1" applyFill="1" applyBorder="1"/>
    <xf numFmtId="168" fontId="64" fillId="0" borderId="0" xfId="1" applyFont="1" applyFill="1"/>
    <xf numFmtId="173" fontId="64" fillId="0" borderId="2" xfId="1" applyNumberFormat="1" applyFont="1" applyBorder="1" applyAlignment="1">
      <alignment horizontal="left"/>
    </xf>
    <xf numFmtId="173" fontId="64" fillId="0" borderId="2" xfId="1" quotePrefix="1" applyNumberFormat="1" applyFont="1" applyBorder="1" applyAlignment="1">
      <alignment horizontal="center"/>
    </xf>
    <xf numFmtId="168" fontId="64" fillId="0" borderId="2" xfId="1" applyFont="1" applyFill="1" applyBorder="1"/>
    <xf numFmtId="0" fontId="83" fillId="0" borderId="0" xfId="0" applyFont="1" applyFill="1"/>
    <xf numFmtId="2" fontId="64" fillId="0" borderId="0" xfId="0" applyNumberFormat="1" applyFont="1" applyBorder="1" applyAlignment="1">
      <alignment horizontal="left"/>
    </xf>
    <xf numFmtId="167" fontId="65" fillId="0" borderId="0" xfId="0" applyNumberFormat="1" applyFont="1" applyBorder="1"/>
    <xf numFmtId="0" fontId="66" fillId="0" borderId="0" xfId="0" applyFont="1" applyAlignment="1">
      <alignment horizontal="center"/>
    </xf>
    <xf numFmtId="0" fontId="64" fillId="0" borderId="2" xfId="3" quotePrefix="1" applyNumberFormat="1" applyFont="1" applyFill="1" applyBorder="1" applyAlignment="1">
      <alignment horizontal="center"/>
    </xf>
    <xf numFmtId="166" fontId="73" fillId="0" borderId="0" xfId="3" applyNumberFormat="1" applyFont="1" applyFill="1"/>
    <xf numFmtId="173" fontId="64" fillId="0" borderId="0" xfId="3" applyNumberFormat="1" applyFont="1" applyFill="1" applyBorder="1"/>
    <xf numFmtId="173" fontId="64" fillId="0" borderId="0" xfId="0" applyNumberFormat="1" applyFont="1" applyFill="1" applyBorder="1"/>
    <xf numFmtId="167" fontId="65" fillId="0" borderId="0" xfId="0" applyNumberFormat="1" applyFont="1" applyFill="1" applyBorder="1"/>
    <xf numFmtId="0" fontId="65" fillId="0" borderId="4" xfId="0" applyFont="1" applyFill="1" applyBorder="1"/>
    <xf numFmtId="0" fontId="65" fillId="0" borderId="0" xfId="3" applyFont="1" applyFill="1"/>
    <xf numFmtId="0" fontId="17" fillId="0" borderId="0" xfId="3" applyFont="1"/>
    <xf numFmtId="166" fontId="4" fillId="0" borderId="0" xfId="3" applyNumberFormat="1" applyFont="1" applyFill="1"/>
    <xf numFmtId="172" fontId="86" fillId="0" borderId="0" xfId="3" applyNumberFormat="1" applyFont="1" applyFill="1" applyBorder="1" applyAlignment="1"/>
    <xf numFmtId="0" fontId="10" fillId="0" borderId="0" xfId="3" applyFont="1" applyFill="1" applyBorder="1"/>
    <xf numFmtId="0" fontId="86" fillId="0" borderId="0" xfId="3" applyFont="1" applyFill="1" applyBorder="1"/>
    <xf numFmtId="173" fontId="64" fillId="0" borderId="0" xfId="1" quotePrefix="1" applyNumberFormat="1" applyFont="1" applyFill="1" applyBorder="1" applyAlignment="1">
      <alignment horizontal="center"/>
    </xf>
    <xf numFmtId="173" fontId="64" fillId="0" borderId="0" xfId="1" applyNumberFormat="1" applyFont="1" applyFill="1" applyAlignment="1">
      <alignment horizontal="center"/>
    </xf>
    <xf numFmtId="173" fontId="64" fillId="0" borderId="0" xfId="1" quotePrefix="1" applyNumberFormat="1" applyFont="1" applyFill="1" applyAlignment="1">
      <alignment horizontal="center"/>
    </xf>
    <xf numFmtId="173" fontId="64" fillId="0" borderId="0" xfId="1" applyNumberFormat="1" applyFont="1" applyBorder="1" applyAlignment="1">
      <alignment horizontal="center"/>
    </xf>
    <xf numFmtId="173" fontId="65" fillId="0" borderId="1" xfId="1" applyNumberFormat="1" applyFont="1" applyBorder="1" applyAlignment="1">
      <alignment horizontal="left"/>
    </xf>
    <xf numFmtId="173" fontId="64" fillId="0" borderId="1" xfId="1" applyNumberFormat="1" applyFont="1" applyFill="1" applyBorder="1" applyAlignment="1">
      <alignment horizontal="left"/>
    </xf>
    <xf numFmtId="0" fontId="7" fillId="0" borderId="1" xfId="0" applyFont="1" applyFill="1" applyBorder="1"/>
    <xf numFmtId="0" fontId="3" fillId="0" borderId="1" xfId="0" applyFont="1" applyBorder="1" applyAlignment="1">
      <alignment horizontal="center"/>
    </xf>
    <xf numFmtId="0" fontId="74" fillId="0" borderId="0" xfId="3" applyFont="1" applyFill="1"/>
    <xf numFmtId="0" fontId="80" fillId="0" borderId="0" xfId="0" applyFont="1" applyBorder="1" applyAlignment="1">
      <alignment horizontal="center"/>
    </xf>
    <xf numFmtId="0" fontId="80" fillId="0" borderId="0" xfId="0" applyFont="1" applyBorder="1"/>
    <xf numFmtId="0" fontId="80" fillId="0" borderId="1" xfId="0" applyFont="1" applyBorder="1" applyAlignment="1">
      <alignment horizontal="left"/>
    </xf>
    <xf numFmtId="0" fontId="80" fillId="0" borderId="1" xfId="0" applyFont="1" applyBorder="1" applyAlignment="1">
      <alignment horizontal="center"/>
    </xf>
    <xf numFmtId="0" fontId="80" fillId="0" borderId="1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80" fillId="0" borderId="0" xfId="0" applyFont="1" applyBorder="1" applyAlignment="1">
      <alignment horizontal="left"/>
    </xf>
    <xf numFmtId="0" fontId="87" fillId="0" borderId="0" xfId="0" applyFont="1" applyBorder="1" applyAlignment="1">
      <alignment horizontal="center"/>
    </xf>
    <xf numFmtId="0" fontId="80" fillId="0" borderId="0" xfId="0" applyFont="1" applyBorder="1" applyAlignment="1"/>
    <xf numFmtId="0" fontId="82" fillId="0" borderId="0" xfId="0" applyFont="1" applyFill="1" applyBorder="1" applyAlignment="1">
      <alignment horizontal="centerContinuous"/>
    </xf>
    <xf numFmtId="0" fontId="80" fillId="0" borderId="0" xfId="0" applyFont="1" applyFill="1" applyBorder="1" applyAlignment="1">
      <alignment horizontal="centerContinuous"/>
    </xf>
    <xf numFmtId="0" fontId="80" fillId="0" borderId="0" xfId="0" applyFont="1" applyFill="1" applyBorder="1"/>
    <xf numFmtId="0" fontId="80" fillId="0" borderId="0" xfId="0" applyFont="1"/>
    <xf numFmtId="0" fontId="80" fillId="0" borderId="0" xfId="0" quotePrefix="1" applyFont="1" applyBorder="1" applyAlignment="1">
      <alignment horizontal="center"/>
    </xf>
    <xf numFmtId="176" fontId="80" fillId="0" borderId="0" xfId="1" applyNumberFormat="1" applyFont="1" applyFill="1"/>
    <xf numFmtId="176" fontId="80" fillId="0" borderId="0" xfId="1" applyNumberFormat="1" applyFont="1" applyFill="1" applyBorder="1"/>
    <xf numFmtId="0" fontId="80" fillId="0" borderId="0" xfId="0" applyFont="1" applyFill="1"/>
    <xf numFmtId="0" fontId="80" fillId="0" borderId="4" xfId="0" applyFont="1" applyFill="1" applyBorder="1"/>
    <xf numFmtId="0" fontId="80" fillId="0" borderId="4" xfId="0" applyFont="1" applyBorder="1"/>
    <xf numFmtId="176" fontId="80" fillId="0" borderId="4" xfId="1" applyNumberFormat="1" applyFont="1" applyFill="1" applyBorder="1"/>
    <xf numFmtId="0" fontId="80" fillId="0" borderId="2" xfId="0" applyFont="1" applyFill="1" applyBorder="1"/>
    <xf numFmtId="0" fontId="80" fillId="0" borderId="2" xfId="0" applyFont="1" applyBorder="1"/>
    <xf numFmtId="176" fontId="80" fillId="0" borderId="2" xfId="1" applyNumberFormat="1" applyFont="1" applyFill="1" applyBorder="1"/>
    <xf numFmtId="0" fontId="80" fillId="0" borderId="0" xfId="0" applyFont="1" applyAlignment="1">
      <alignment horizontal="left"/>
    </xf>
    <xf numFmtId="0" fontId="87" fillId="0" borderId="1" xfId="0" applyFont="1" applyFill="1" applyBorder="1"/>
    <xf numFmtId="0" fontId="87" fillId="0" borderId="3" xfId="0" applyFont="1" applyBorder="1"/>
    <xf numFmtId="0" fontId="87" fillId="0" borderId="0" xfId="0" applyFont="1" applyBorder="1"/>
    <xf numFmtId="176" fontId="87" fillId="0" borderId="3" xfId="1" applyNumberFormat="1" applyFont="1" applyFill="1" applyBorder="1"/>
    <xf numFmtId="176" fontId="87" fillId="0" borderId="0" xfId="1" applyNumberFormat="1" applyFont="1" applyFill="1" applyBorder="1"/>
    <xf numFmtId="176" fontId="82" fillId="0" borderId="0" xfId="1" applyNumberFormat="1" applyFont="1" applyFill="1"/>
    <xf numFmtId="0" fontId="80" fillId="0" borderId="0" xfId="0" applyFont="1" applyAlignment="1">
      <alignment horizontal="center"/>
    </xf>
    <xf numFmtId="0" fontId="80" fillId="0" borderId="0" xfId="0" quotePrefix="1" applyFont="1" applyAlignment="1">
      <alignment horizontal="center"/>
    </xf>
    <xf numFmtId="176" fontId="80" fillId="0" borderId="0" xfId="1" applyNumberFormat="1" applyFont="1" applyFill="1" applyAlignment="1">
      <alignment horizontal="left"/>
    </xf>
    <xf numFmtId="176" fontId="80" fillId="0" borderId="0" xfId="1" applyNumberFormat="1" applyFont="1" applyFill="1" applyBorder="1" applyAlignment="1">
      <alignment horizontal="left"/>
    </xf>
    <xf numFmtId="0" fontId="88" fillId="0" borderId="0" xfId="0" applyFont="1" applyFill="1" applyBorder="1"/>
    <xf numFmtId="179" fontId="73" fillId="0" borderId="0" xfId="3" applyNumberFormat="1" applyFont="1" applyFill="1" applyBorder="1"/>
    <xf numFmtId="0" fontId="69" fillId="0" borderId="0" xfId="0" applyFont="1" applyBorder="1" applyAlignment="1">
      <alignment horizontal="center"/>
    </xf>
    <xf numFmtId="0" fontId="69" fillId="0" borderId="0" xfId="0" applyFont="1" applyBorder="1"/>
    <xf numFmtId="0" fontId="69" fillId="0" borderId="0" xfId="0" applyFont="1" applyFill="1" applyBorder="1"/>
    <xf numFmtId="0" fontId="3" fillId="0" borderId="0" xfId="0" applyFont="1" applyBorder="1" applyAlignment="1"/>
    <xf numFmtId="0" fontId="11" fillId="0" borderId="0" xfId="0" applyFont="1" applyBorder="1" applyAlignment="1"/>
    <xf numFmtId="168" fontId="72" fillId="0" borderId="0" xfId="1" applyNumberFormat="1" applyFont="1" applyFill="1" applyBorder="1" applyAlignment="1"/>
    <xf numFmtId="0" fontId="65" fillId="0" borderId="1" xfId="3" applyFont="1" applyFill="1" applyBorder="1"/>
    <xf numFmtId="176" fontId="72" fillId="0" borderId="2" xfId="1" applyNumberFormat="1" applyFont="1" applyFill="1" applyBorder="1" applyAlignment="1"/>
    <xf numFmtId="176" fontId="64" fillId="21" borderId="0" xfId="1" applyNumberFormat="1" applyFont="1" applyFill="1"/>
    <xf numFmtId="0" fontId="72" fillId="21" borderId="0" xfId="3" applyFont="1" applyFill="1" applyBorder="1"/>
    <xf numFmtId="176" fontId="64" fillId="21" borderId="0" xfId="1" applyNumberFormat="1" applyFont="1" applyFill="1" applyBorder="1"/>
    <xf numFmtId="0" fontId="64" fillId="21" borderId="0" xfId="3" applyFont="1" applyFill="1" applyBorder="1"/>
    <xf numFmtId="176" fontId="65" fillId="21" borderId="4" xfId="1" applyNumberFormat="1" applyFont="1" applyFill="1" applyBorder="1"/>
    <xf numFmtId="176" fontId="64" fillId="21" borderId="0" xfId="1" applyNumberFormat="1" applyFont="1" applyFill="1" applyAlignment="1"/>
    <xf numFmtId="176" fontId="65" fillId="0" borderId="3" xfId="303" applyNumberFormat="1" applyFont="1" applyFill="1" applyBorder="1"/>
    <xf numFmtId="176" fontId="64" fillId="0" borderId="4" xfId="303" applyNumberFormat="1" applyFont="1" applyFill="1" applyBorder="1"/>
    <xf numFmtId="176" fontId="64" fillId="21" borderId="0" xfId="303" applyNumberFormat="1" applyFont="1" applyFill="1"/>
    <xf numFmtId="176" fontId="64" fillId="0" borderId="0" xfId="303" applyNumberFormat="1" applyFont="1" applyFill="1"/>
    <xf numFmtId="176" fontId="71" fillId="0" borderId="0" xfId="303" applyNumberFormat="1" applyFont="1" applyFill="1" applyBorder="1"/>
    <xf numFmtId="176" fontId="64" fillId="0" borderId="0" xfId="303" applyNumberFormat="1" applyFont="1" applyFill="1" applyBorder="1"/>
    <xf numFmtId="168" fontId="64" fillId="21" borderId="0" xfId="1" applyNumberFormat="1" applyFont="1" applyFill="1" applyAlignment="1"/>
    <xf numFmtId="176" fontId="64" fillId="21" borderId="0" xfId="121" applyNumberFormat="1" applyFont="1" applyFill="1"/>
    <xf numFmtId="176" fontId="72" fillId="21" borderId="0" xfId="1" applyNumberFormat="1" applyFont="1" applyFill="1" applyBorder="1" applyAlignment="1"/>
    <xf numFmtId="167" fontId="64" fillId="21" borderId="0" xfId="2" applyNumberFormat="1" applyFont="1" applyFill="1" applyBorder="1"/>
    <xf numFmtId="173" fontId="65" fillId="21" borderId="0" xfId="1" applyNumberFormat="1" applyFont="1" applyFill="1" applyBorder="1" applyAlignment="1">
      <alignment horizontal="left"/>
    </xf>
    <xf numFmtId="176" fontId="64" fillId="21" borderId="2" xfId="1" applyNumberFormat="1" applyFont="1" applyFill="1" applyBorder="1" applyAlignment="1"/>
    <xf numFmtId="172" fontId="65" fillId="21" borderId="0" xfId="3" applyNumberFormat="1" applyFont="1" applyFill="1"/>
    <xf numFmtId="0" fontId="65" fillId="21" borderId="0" xfId="3" applyFont="1" applyFill="1"/>
    <xf numFmtId="173" fontId="64" fillId="21" borderId="0" xfId="3" applyNumberFormat="1" applyFont="1" applyFill="1" applyBorder="1"/>
    <xf numFmtId="166" fontId="73" fillId="21" borderId="0" xfId="3" applyNumberFormat="1" applyFont="1" applyFill="1" applyBorder="1"/>
    <xf numFmtId="0" fontId="82" fillId="21" borderId="0" xfId="3" applyFont="1" applyFill="1" applyBorder="1"/>
    <xf numFmtId="0" fontId="80" fillId="21" borderId="0" xfId="3" applyFont="1" applyFill="1" applyBorder="1"/>
    <xf numFmtId="0" fontId="69" fillId="21" borderId="1" xfId="0" applyFont="1" applyFill="1" applyBorder="1"/>
    <xf numFmtId="0" fontId="69" fillId="21" borderId="0" xfId="0" applyFont="1" applyFill="1" applyBorder="1"/>
    <xf numFmtId="0" fontId="64" fillId="21" borderId="1" xfId="3" applyFont="1" applyFill="1" applyBorder="1"/>
    <xf numFmtId="41" fontId="64" fillId="21" borderId="0" xfId="3" applyNumberFormat="1" applyFont="1" applyFill="1" applyBorder="1" applyAlignment="1">
      <alignment horizontal="center"/>
    </xf>
    <xf numFmtId="0" fontId="64" fillId="21" borderId="0" xfId="3" applyNumberFormat="1" applyFont="1" applyFill="1" applyBorder="1" applyAlignment="1">
      <alignment horizontal="center"/>
    </xf>
    <xf numFmtId="0" fontId="67" fillId="21" borderId="0" xfId="3" applyFont="1" applyFill="1" applyBorder="1" applyAlignment="1"/>
    <xf numFmtId="176" fontId="64" fillId="21" borderId="0" xfId="1" applyNumberFormat="1" applyFont="1" applyFill="1" applyBorder="1" applyAlignment="1"/>
    <xf numFmtId="168" fontId="64" fillId="21" borderId="0" xfId="1" applyNumberFormat="1" applyFont="1" applyFill="1" applyBorder="1" applyAlignment="1"/>
    <xf numFmtId="166" fontId="64" fillId="21" borderId="0" xfId="0" applyNumberFormat="1" applyFont="1" applyFill="1" applyBorder="1"/>
    <xf numFmtId="0" fontId="3" fillId="21" borderId="0" xfId="3" applyFont="1" applyFill="1"/>
    <xf numFmtId="0" fontId="72" fillId="0" borderId="0" xfId="3" applyFont="1" applyFill="1" applyBorder="1" applyAlignment="1"/>
    <xf numFmtId="168" fontId="16" fillId="0" borderId="0" xfId="1" applyFont="1" applyFill="1" applyBorder="1"/>
    <xf numFmtId="41" fontId="64" fillId="0" borderId="2" xfId="3" applyNumberFormat="1" applyFont="1" applyFill="1" applyBorder="1" applyAlignment="1">
      <alignment horizontal="center"/>
    </xf>
    <xf numFmtId="41" fontId="64" fillId="0" borderId="0" xfId="3" applyNumberFormat="1" applyFont="1" applyBorder="1" applyAlignment="1">
      <alignment horizontal="center"/>
    </xf>
    <xf numFmtId="41" fontId="64" fillId="0" borderId="5" xfId="3" applyNumberFormat="1" applyFont="1" applyFill="1" applyBorder="1" applyAlignment="1">
      <alignment horizontal="center"/>
    </xf>
    <xf numFmtId="168" fontId="64" fillId="0" borderId="0" xfId="1" applyNumberFormat="1" applyFont="1" applyFill="1" applyAlignment="1"/>
    <xf numFmtId="0" fontId="80" fillId="0" borderId="6" xfId="0" applyFont="1" applyBorder="1" applyAlignment="1"/>
    <xf numFmtId="0" fontId="80" fillId="0" borderId="5" xfId="0" applyFont="1" applyBorder="1" applyAlignment="1"/>
    <xf numFmtId="168" fontId="64" fillId="0" borderId="0" xfId="1" applyNumberFormat="1" applyFont="1" applyFill="1"/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left" indent="1"/>
    </xf>
    <xf numFmtId="0" fontId="66" fillId="0" borderId="0" xfId="3" applyFont="1" applyAlignment="1">
      <alignment horizontal="left"/>
    </xf>
    <xf numFmtId="0" fontId="69" fillId="0" borderId="0" xfId="0" applyFont="1" applyAlignment="1">
      <alignment horizontal="center"/>
    </xf>
    <xf numFmtId="0" fontId="64" fillId="0" borderId="5" xfId="3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4" fillId="0" borderId="4" xfId="3" applyFont="1" applyFill="1" applyBorder="1" applyAlignment="1">
      <alignment horizontal="left"/>
    </xf>
    <xf numFmtId="0" fontId="64" fillId="0" borderId="4" xfId="3" applyFont="1" applyFill="1" applyBorder="1" applyAlignment="1">
      <alignment horizontal="center"/>
    </xf>
    <xf numFmtId="176" fontId="64" fillId="0" borderId="0" xfId="3" applyNumberFormat="1" applyFont="1" applyFill="1" applyBorder="1"/>
    <xf numFmtId="180" fontId="64" fillId="0" borderId="0" xfId="3" applyNumberFormat="1" applyFont="1" applyFill="1" applyBorder="1"/>
    <xf numFmtId="176" fontId="65" fillId="21" borderId="4" xfId="3" applyNumberFormat="1" applyFont="1" applyFill="1" applyBorder="1"/>
    <xf numFmtId="176" fontId="65" fillId="0" borderId="4" xfId="3" applyNumberFormat="1" applyFont="1" applyFill="1" applyBorder="1"/>
    <xf numFmtId="176" fontId="64" fillId="0" borderId="0" xfId="3" applyNumberFormat="1" applyFont="1"/>
    <xf numFmtId="168" fontId="64" fillId="0" borderId="0" xfId="3" applyNumberFormat="1" applyFont="1" applyFill="1" applyBorder="1"/>
    <xf numFmtId="176" fontId="64" fillId="0" borderId="2" xfId="3" applyNumberFormat="1" applyFont="1" applyFill="1" applyBorder="1"/>
    <xf numFmtId="174" fontId="73" fillId="0" borderId="0" xfId="3" applyNumberFormat="1" applyFont="1" applyFill="1" applyBorder="1"/>
    <xf numFmtId="176" fontId="64" fillId="0" borderId="0" xfId="1" applyNumberFormat="1" applyFont="1" applyBorder="1" applyAlignment="1">
      <alignment horizontal="left"/>
    </xf>
    <xf numFmtId="176" fontId="65" fillId="0" borderId="0" xfId="1" applyNumberFormat="1" applyFont="1" applyBorder="1" applyAlignment="1">
      <alignment horizontal="left"/>
    </xf>
    <xf numFmtId="176" fontId="64" fillId="0" borderId="2" xfId="1" applyNumberFormat="1" applyFont="1" applyBorder="1" applyAlignment="1">
      <alignment horizontal="left"/>
    </xf>
    <xf numFmtId="176" fontId="64" fillId="0" borderId="4" xfId="1" applyNumberFormat="1" applyFont="1" applyBorder="1" applyAlignment="1">
      <alignment horizontal="left"/>
    </xf>
    <xf numFmtId="176" fontId="64" fillId="0" borderId="0" xfId="1" applyNumberFormat="1" applyFont="1" applyFill="1" applyBorder="1" applyAlignment="1">
      <alignment horizontal="left"/>
    </xf>
    <xf numFmtId="176" fontId="11" fillId="0" borderId="0" xfId="1" applyNumberFormat="1" applyFont="1" applyFill="1" applyBorder="1"/>
    <xf numFmtId="176" fontId="64" fillId="0" borderId="0" xfId="1" applyNumberFormat="1" applyFont="1" applyAlignment="1">
      <alignment horizontal="left"/>
    </xf>
    <xf numFmtId="176" fontId="64" fillId="0" borderId="0" xfId="1" quotePrefix="1" applyNumberFormat="1" applyFont="1" applyBorder="1" applyAlignment="1">
      <alignment horizontal="left"/>
    </xf>
    <xf numFmtId="176" fontId="64" fillId="0" borderId="0" xfId="1" quotePrefix="1" applyNumberFormat="1" applyFont="1" applyFill="1" applyBorder="1" applyAlignment="1">
      <alignment horizontal="left"/>
    </xf>
    <xf numFmtId="176" fontId="65" fillId="0" borderId="2" xfId="1" applyNumberFormat="1" applyFont="1" applyBorder="1" applyAlignment="1">
      <alignment horizontal="left"/>
    </xf>
    <xf numFmtId="176" fontId="11" fillId="0" borderId="0" xfId="1" applyNumberFormat="1" applyFont="1" applyFill="1"/>
    <xf numFmtId="176" fontId="65" fillId="0" borderId="0" xfId="1" applyNumberFormat="1" applyFont="1" applyAlignment="1">
      <alignment horizontal="left"/>
    </xf>
    <xf numFmtId="0" fontId="24" fillId="0" borderId="0" xfId="3" quotePrefix="1" applyFont="1" applyFill="1"/>
    <xf numFmtId="9" fontId="64" fillId="0" borderId="0" xfId="3" applyNumberFormat="1" applyFont="1" applyFill="1"/>
    <xf numFmtId="180" fontId="64" fillId="0" borderId="0" xfId="3" applyNumberFormat="1" applyFont="1" applyFill="1"/>
    <xf numFmtId="176" fontId="64" fillId="0" borderId="2" xfId="303" applyNumberFormat="1" applyFont="1" applyFill="1" applyBorder="1"/>
    <xf numFmtId="176" fontId="64" fillId="0" borderId="2" xfId="1" applyNumberFormat="1" applyFont="1" applyFill="1" applyBorder="1" applyAlignment="1">
      <alignment horizontal="left"/>
    </xf>
    <xf numFmtId="41" fontId="64" fillId="0" borderId="5" xfId="3" applyNumberFormat="1" applyFont="1" applyFill="1" applyBorder="1" applyAlignment="1">
      <alignment horizontal="center"/>
    </xf>
    <xf numFmtId="41" fontId="64" fillId="0" borderId="2" xfId="3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6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41" fontId="64" fillId="0" borderId="0" xfId="3" applyNumberFormat="1" applyFont="1" applyFill="1" applyBorder="1" applyAlignment="1">
      <alignment horizontal="center"/>
    </xf>
    <xf numFmtId="41" fontId="64" fillId="0" borderId="5" xfId="3" applyNumberFormat="1" applyFont="1" applyFill="1" applyBorder="1" applyAlignment="1"/>
    <xf numFmtId="176" fontId="64" fillId="0" borderId="0" xfId="1" applyNumberFormat="1" applyFont="1" applyFill="1" applyBorder="1" applyAlignment="1"/>
    <xf numFmtId="180" fontId="64" fillId="0" borderId="2" xfId="3" applyNumberFormat="1" applyFont="1" applyFill="1" applyBorder="1"/>
    <xf numFmtId="0" fontId="77" fillId="0" borderId="2" xfId="3" applyFont="1" applyFill="1" applyBorder="1"/>
    <xf numFmtId="0" fontId="65" fillId="0" borderId="2" xfId="3" applyFont="1" applyFill="1" applyBorder="1"/>
    <xf numFmtId="0" fontId="77" fillId="0" borderId="0" xfId="3" applyFont="1" applyFill="1" applyBorder="1"/>
    <xf numFmtId="176" fontId="65" fillId="0" borderId="2" xfId="1" applyNumberFormat="1" applyFont="1" applyFill="1" applyBorder="1" applyAlignment="1"/>
    <xf numFmtId="176" fontId="77" fillId="0" borderId="0" xfId="1" applyNumberFormat="1" applyFont="1" applyFill="1" applyBorder="1" applyAlignment="1"/>
    <xf numFmtId="41" fontId="64" fillId="0" borderId="1" xfId="3" applyNumberFormat="1" applyFont="1" applyFill="1" applyBorder="1"/>
    <xf numFmtId="9" fontId="64" fillId="0" borderId="0" xfId="1" applyNumberFormat="1" applyFont="1" applyFill="1" applyAlignment="1"/>
    <xf numFmtId="9" fontId="67" fillId="0" borderId="0" xfId="3" applyNumberFormat="1" applyFont="1" applyFill="1" applyBorder="1" applyAlignment="1"/>
    <xf numFmtId="9" fontId="64" fillId="0" borderId="0" xfId="3" applyNumberFormat="1" applyFont="1" applyFill="1" applyBorder="1" applyAlignment="1"/>
    <xf numFmtId="9" fontId="72" fillId="0" borderId="0" xfId="1" applyNumberFormat="1" applyFont="1" applyFill="1" applyAlignment="1"/>
    <xf numFmtId="9" fontId="64" fillId="0" borderId="0" xfId="1" applyNumberFormat="1" applyFont="1" applyFill="1" applyBorder="1" applyAlignment="1"/>
    <xf numFmtId="9" fontId="72" fillId="0" borderId="0" xfId="1" applyNumberFormat="1" applyFont="1" applyFill="1" applyBorder="1" applyAlignment="1"/>
    <xf numFmtId="9" fontId="64" fillId="0" borderId="2" xfId="1" applyNumberFormat="1" applyFont="1" applyFill="1" applyBorder="1" applyAlignment="1"/>
    <xf numFmtId="9" fontId="64" fillId="0" borderId="2" xfId="3" applyNumberFormat="1" applyFont="1" applyFill="1" applyBorder="1" applyAlignment="1"/>
    <xf numFmtId="0" fontId="64" fillId="0" borderId="15" xfId="0" applyFont="1" applyFill="1" applyBorder="1" applyAlignment="1">
      <alignment horizontal="left" vertical="center"/>
    </xf>
    <xf numFmtId="0" fontId="63" fillId="0" borderId="15" xfId="0" applyFont="1" applyFill="1" applyBorder="1" applyAlignment="1">
      <alignment horizontal="left" vertical="center"/>
    </xf>
    <xf numFmtId="0" fontId="67" fillId="0" borderId="2" xfId="0" applyFont="1" applyFill="1" applyBorder="1" applyAlignment="1"/>
    <xf numFmtId="0" fontId="64" fillId="0" borderId="2" xfId="0" applyFont="1" applyFill="1" applyBorder="1" applyAlignment="1">
      <alignment horizontal="center"/>
    </xf>
    <xf numFmtId="0" fontId="64" fillId="0" borderId="0" xfId="0" applyFont="1" applyFill="1" applyBorder="1" applyAlignment="1"/>
    <xf numFmtId="0" fontId="73" fillId="0" borderId="0" xfId="0" applyFont="1" applyFill="1" applyBorder="1" applyAlignment="1">
      <alignment horizontal="center"/>
    </xf>
    <xf numFmtId="173" fontId="64" fillId="0" borderId="2" xfId="1" applyNumberFormat="1" applyFont="1" applyFill="1" applyBorder="1" applyAlignment="1">
      <alignment horizontal="left"/>
    </xf>
    <xf numFmtId="173" fontId="64" fillId="0" borderId="2" xfId="1" quotePrefix="1" applyNumberFormat="1" applyFont="1" applyFill="1" applyBorder="1" applyAlignment="1">
      <alignment horizontal="center"/>
    </xf>
    <xf numFmtId="173" fontId="65" fillId="0" borderId="0" xfId="1" applyNumberFormat="1" applyFont="1" applyFill="1" applyBorder="1" applyAlignment="1">
      <alignment horizontal="center"/>
    </xf>
    <xf numFmtId="176" fontId="65" fillId="0" borderId="15" xfId="1" applyNumberFormat="1" applyFont="1" applyFill="1" applyBorder="1"/>
    <xf numFmtId="0" fontId="64" fillId="0" borderId="4" xfId="3" applyFont="1" applyFill="1" applyBorder="1"/>
    <xf numFmtId="172" fontId="77" fillId="0" borderId="0" xfId="3" applyNumberFormat="1" applyFont="1" applyFill="1" applyBorder="1"/>
    <xf numFmtId="41" fontId="64" fillId="0" borderId="0" xfId="3" applyNumberFormat="1" applyFont="1" applyFill="1"/>
    <xf numFmtId="41" fontId="64" fillId="0" borderId="2" xfId="3" applyNumberFormat="1" applyFont="1" applyFill="1" applyBorder="1" applyAlignment="1"/>
    <xf numFmtId="0" fontId="78" fillId="0" borderId="0" xfId="0" applyFont="1" applyFill="1"/>
    <xf numFmtId="0" fontId="64" fillId="0" borderId="0" xfId="0" applyFont="1" applyFill="1"/>
    <xf numFmtId="0" fontId="63" fillId="0" borderId="0" xfId="0" applyFont="1" applyFill="1" applyBorder="1" applyAlignment="1">
      <alignment horizontal="left" vertical="center"/>
    </xf>
    <xf numFmtId="41" fontId="64" fillId="0" borderId="6" xfId="3" applyNumberFormat="1" applyFont="1" applyFill="1" applyBorder="1" applyAlignment="1">
      <alignment horizontal="center"/>
    </xf>
    <xf numFmtId="41" fontId="64" fillId="0" borderId="0" xfId="3" applyNumberFormat="1" applyFont="1" applyFill="1" applyBorder="1" applyAlignment="1"/>
    <xf numFmtId="0" fontId="64" fillId="0" borderId="4" xfId="3" applyNumberFormat="1" applyFont="1" applyFill="1" applyBorder="1" applyAlignment="1">
      <alignment horizontal="center"/>
    </xf>
    <xf numFmtId="0" fontId="17" fillId="0" borderId="0" xfId="3" applyFont="1" applyFill="1"/>
    <xf numFmtId="0" fontId="73" fillId="0" borderId="0" xfId="3" applyFont="1" applyFill="1"/>
    <xf numFmtId="176" fontId="64" fillId="0" borderId="0" xfId="3" applyNumberFormat="1" applyFont="1" applyFill="1"/>
    <xf numFmtId="0" fontId="68" fillId="0" borderId="0" xfId="3" applyFont="1" applyFill="1"/>
    <xf numFmtId="0" fontId="64" fillId="0" borderId="0" xfId="3" applyNumberFormat="1" applyFont="1" applyFill="1" applyBorder="1" applyAlignment="1">
      <alignment horizontal="center"/>
    </xf>
    <xf numFmtId="176" fontId="65" fillId="0" borderId="2" xfId="1" applyNumberFormat="1" applyFont="1" applyFill="1" applyBorder="1"/>
    <xf numFmtId="0" fontId="12" fillId="0" borderId="0" xfId="3" applyFont="1" applyFill="1"/>
    <xf numFmtId="37" fontId="81" fillId="0" borderId="0" xfId="0" applyNumberFormat="1" applyFont="1" applyFill="1"/>
    <xf numFmtId="0" fontId="4" fillId="0" borderId="0" xfId="3" applyFont="1" applyFill="1"/>
    <xf numFmtId="0" fontId="3" fillId="0" borderId="1" xfId="3" applyFont="1" applyFill="1" applyBorder="1"/>
    <xf numFmtId="166" fontId="67" fillId="0" borderId="0" xfId="3" applyNumberFormat="1" applyFont="1" applyFill="1" applyAlignment="1"/>
    <xf numFmtId="166" fontId="67" fillId="0" borderId="0" xfId="3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69" fillId="0" borderId="0" xfId="3" applyFont="1" applyFill="1" applyBorder="1" applyAlignment="1">
      <alignment horizontal="left"/>
    </xf>
    <xf numFmtId="0" fontId="75" fillId="0" borderId="0" xfId="3" applyFont="1" applyFill="1" applyAlignment="1">
      <alignment horizontal="left"/>
    </xf>
    <xf numFmtId="0" fontId="9" fillId="0" borderId="0" xfId="3" applyFont="1" applyFill="1" applyAlignment="1">
      <alignment horizontal="left"/>
    </xf>
    <xf numFmtId="0" fontId="73" fillId="0" borderId="0" xfId="3" applyFont="1" applyFill="1" applyBorder="1"/>
    <xf numFmtId="0" fontId="18" fillId="0" borderId="0" xfId="3" applyFont="1" applyFill="1" applyAlignment="1"/>
    <xf numFmtId="176" fontId="65" fillId="0" borderId="0" xfId="1" applyNumberFormat="1" applyFont="1" applyFill="1" applyBorder="1" applyAlignment="1"/>
    <xf numFmtId="0" fontId="85" fillId="0" borderId="0" xfId="3" applyFont="1" applyFill="1" applyBorder="1"/>
    <xf numFmtId="0" fontId="86" fillId="0" borderId="0" xfId="3" applyFont="1" applyFill="1" applyBorder="1" applyAlignment="1"/>
    <xf numFmtId="172" fontId="3" fillId="0" borderId="0" xfId="3" applyNumberFormat="1" applyFont="1" applyFill="1" applyBorder="1"/>
    <xf numFmtId="0" fontId="64" fillId="0" borderId="0" xfId="3" applyFont="1" applyFill="1" applyBorder="1" applyAlignment="1"/>
    <xf numFmtId="172" fontId="33" fillId="0" borderId="0" xfId="3" applyNumberFormat="1" applyFont="1" applyFill="1" applyBorder="1"/>
    <xf numFmtId="0" fontId="67" fillId="0" borderId="0" xfId="3" applyFont="1" applyFill="1" applyAlignment="1"/>
    <xf numFmtId="166" fontId="11" fillId="0" borderId="0" xfId="3" applyNumberFormat="1" applyFont="1" applyFill="1"/>
    <xf numFmtId="166" fontId="24" fillId="0" borderId="0" xfId="3" applyNumberFormat="1" applyFont="1" applyFill="1" applyBorder="1" applyAlignment="1">
      <alignment horizontal="left"/>
    </xf>
    <xf numFmtId="0" fontId="24" fillId="0" borderId="0" xfId="3" applyFont="1" applyFill="1" applyAlignment="1">
      <alignment horizontal="left"/>
    </xf>
    <xf numFmtId="0" fontId="84" fillId="0" borderId="0" xfId="3" applyFont="1" applyFill="1"/>
    <xf numFmtId="175" fontId="73" fillId="0" borderId="0" xfId="3" applyNumberFormat="1" applyFont="1" applyFill="1" applyBorder="1"/>
    <xf numFmtId="166" fontId="8" fillId="0" borderId="0" xfId="3" applyNumberFormat="1" applyFont="1" applyFill="1"/>
    <xf numFmtId="173" fontId="4" fillId="0" borderId="0" xfId="3" applyNumberFormat="1" applyFont="1" applyFill="1"/>
    <xf numFmtId="168" fontId="64" fillId="0" borderId="0" xfId="1" applyFont="1" applyFill="1" applyBorder="1"/>
    <xf numFmtId="0" fontId="66" fillId="0" borderId="0" xfId="0" applyFont="1" applyFill="1" applyAlignment="1">
      <alignment horizontal="center"/>
    </xf>
    <xf numFmtId="173" fontId="3" fillId="0" borderId="0" xfId="3" applyNumberFormat="1" applyFont="1" applyFill="1" applyBorder="1"/>
    <xf numFmtId="173" fontId="73" fillId="0" borderId="0" xfId="3" applyNumberFormat="1" applyFont="1" applyFill="1"/>
    <xf numFmtId="173" fontId="64" fillId="0" borderId="0" xfId="3" applyNumberFormat="1" applyFont="1" applyFill="1"/>
    <xf numFmtId="0" fontId="74" fillId="0" borderId="0" xfId="3" applyFont="1" applyFill="1" applyAlignment="1">
      <alignment wrapText="1"/>
    </xf>
    <xf numFmtId="176" fontId="64" fillId="0" borderId="0" xfId="1" quotePrefix="1" applyNumberFormat="1" applyFont="1" applyFill="1"/>
    <xf numFmtId="16" fontId="64" fillId="0" borderId="0" xfId="0" quotePrefix="1" applyNumberFormat="1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4" fillId="0" borderId="5" xfId="3" applyFont="1" applyBorder="1" applyAlignment="1">
      <alignment horizontal="center"/>
    </xf>
    <xf numFmtId="16" fontId="64" fillId="0" borderId="2" xfId="0" quotePrefix="1" applyNumberFormat="1" applyFont="1" applyBorder="1" applyAlignment="1">
      <alignment horizontal="center"/>
    </xf>
    <xf numFmtId="0" fontId="80" fillId="0" borderId="6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4" fillId="0" borderId="2" xfId="3" applyFont="1" applyFill="1" applyBorder="1" applyAlignment="1">
      <alignment horizontal="center"/>
    </xf>
    <xf numFmtId="41" fontId="64" fillId="0" borderId="5" xfId="3" applyNumberFormat="1" applyFont="1" applyFill="1" applyBorder="1" applyAlignment="1">
      <alignment horizontal="center"/>
    </xf>
    <xf numFmtId="41" fontId="64" fillId="0" borderId="2" xfId="3" applyNumberFormat="1" applyFont="1" applyFill="1" applyBorder="1" applyAlignment="1">
      <alignment horizontal="center"/>
    </xf>
    <xf numFmtId="41" fontId="64" fillId="0" borderId="6" xfId="3" applyNumberFormat="1" applyFont="1" applyFill="1" applyBorder="1" applyAlignment="1">
      <alignment horizontal="center"/>
    </xf>
    <xf numFmtId="41" fontId="64" fillId="0" borderId="5" xfId="3" applyNumberFormat="1" applyFont="1" applyBorder="1" applyAlignment="1">
      <alignment horizontal="center"/>
    </xf>
    <xf numFmtId="0" fontId="64" fillId="0" borderId="5" xfId="3" applyFont="1" applyFill="1" applyBorder="1" applyAlignment="1">
      <alignment horizontal="center"/>
    </xf>
  </cellXfs>
  <cellStyles count="393">
    <cellStyle name="20% - Accent1 2" xfId="42"/>
    <cellStyle name="20% - Accent1 3" xfId="43"/>
    <cellStyle name="20% - Accent1 4" xfId="44"/>
    <cellStyle name="20% - Accent1 5" xfId="45"/>
    <cellStyle name="20% - Accent1 6" xfId="46"/>
    <cellStyle name="20% - Accent2 2" xfId="47"/>
    <cellStyle name="20% - Accent2 3" xfId="48"/>
    <cellStyle name="20% - Accent2 4" xfId="49"/>
    <cellStyle name="20% - Accent2 5" xfId="50"/>
    <cellStyle name="20% - Accent2 6" xfId="51"/>
    <cellStyle name="20% - Accent3 2" xfId="52"/>
    <cellStyle name="20% - Accent3 3" xfId="53"/>
    <cellStyle name="20% - Accent3 4" xfId="54"/>
    <cellStyle name="20% - Accent3 5" xfId="55"/>
    <cellStyle name="20% - Accent3 6" xfId="56"/>
    <cellStyle name="20% - Accent4 2" xfId="57"/>
    <cellStyle name="20% - Accent4 3" xfId="58"/>
    <cellStyle name="20% - Accent4 4" xfId="59"/>
    <cellStyle name="20% - Accent4 5" xfId="60"/>
    <cellStyle name="20% - Accent4 6" xfId="61"/>
    <cellStyle name="20% - Accent5 2" xfId="62"/>
    <cellStyle name="20% - Accent5 3" xfId="63"/>
    <cellStyle name="20% - Accent5 4" xfId="64"/>
    <cellStyle name="20% - Accent5 5" xfId="65"/>
    <cellStyle name="20% - Accent5 6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40% - Accent1 2" xfId="72"/>
    <cellStyle name="40% - Accent1 3" xfId="73"/>
    <cellStyle name="40% - Accent1 4" xfId="74"/>
    <cellStyle name="40% - Accent1 5" xfId="75"/>
    <cellStyle name="40% - Accent1 6" xfId="76"/>
    <cellStyle name="40% - Accent2 2" xfId="77"/>
    <cellStyle name="40% - Accent2 3" xfId="78"/>
    <cellStyle name="40% - Accent2 4" xfId="79"/>
    <cellStyle name="40% - Accent2 5" xfId="80"/>
    <cellStyle name="40% - Accent2 6" xfId="81"/>
    <cellStyle name="40% - Accent3 2" xfId="82"/>
    <cellStyle name="40% - Accent3 3" xfId="83"/>
    <cellStyle name="40% - Accent3 4" xfId="84"/>
    <cellStyle name="40% - Accent3 5" xfId="85"/>
    <cellStyle name="40% - Accent3 6" xfId="86"/>
    <cellStyle name="40% - Accent4 2" xfId="87"/>
    <cellStyle name="40% - Accent4 3" xfId="88"/>
    <cellStyle name="40% - Accent4 4" xfId="89"/>
    <cellStyle name="40% - Accent4 5" xfId="90"/>
    <cellStyle name="40% - Accent4 6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6 2" xfId="97"/>
    <cellStyle name="40% - Accent6 3" xfId="98"/>
    <cellStyle name="40% - Accent6 4" xfId="99"/>
    <cellStyle name="40% - Accent6 5" xfId="100"/>
    <cellStyle name="40% - Accent6 6" xfId="101"/>
    <cellStyle name="7Mini" xfId="7"/>
    <cellStyle name="Arreg" xfId="102"/>
    <cellStyle name="Comma" xfId="1" builtinId="3"/>
    <cellStyle name="Comma 10" xfId="103"/>
    <cellStyle name="Comma 10 2" xfId="104"/>
    <cellStyle name="Comma 10 3" xfId="105"/>
    <cellStyle name="Comma 10 4" xfId="106"/>
    <cellStyle name="Comma 10 5" xfId="107"/>
    <cellStyle name="Comma 10 6" xfId="108"/>
    <cellStyle name="Comma 10 7" xfId="109"/>
    <cellStyle name="Comma 10 8" xfId="110"/>
    <cellStyle name="Comma 10 9" xfId="111"/>
    <cellStyle name="Comma 11" xfId="112"/>
    <cellStyle name="Comma 11 2" xfId="113"/>
    <cellStyle name="Comma 11 3" xfId="114"/>
    <cellStyle name="Comma 11 4" xfId="115"/>
    <cellStyle name="Comma 11 5" xfId="116"/>
    <cellStyle name="Comma 11 6" xfId="117"/>
    <cellStyle name="Comma 11 7" xfId="118"/>
    <cellStyle name="Comma 11 8" xfId="119"/>
    <cellStyle name="Comma 11 9" xfId="120"/>
    <cellStyle name="Comma 12" xfId="121"/>
    <cellStyle name="Comma 12 2" xfId="122"/>
    <cellStyle name="Comma 12 3" xfId="123"/>
    <cellStyle name="Comma 12 4" xfId="124"/>
    <cellStyle name="Comma 12 5" xfId="125"/>
    <cellStyle name="Comma 12 6" xfId="126"/>
    <cellStyle name="Comma 12 7" xfId="127"/>
    <cellStyle name="Comma 12 8" xfId="128"/>
    <cellStyle name="Comma 12 9" xfId="129"/>
    <cellStyle name="Comma 123" xfId="130"/>
    <cellStyle name="Comma 124" xfId="131"/>
    <cellStyle name="Comma 125" xfId="132"/>
    <cellStyle name="Comma 126" xfId="133"/>
    <cellStyle name="Comma 127" xfId="134"/>
    <cellStyle name="Comma 128" xfId="135"/>
    <cellStyle name="Comma 129" xfId="136"/>
    <cellStyle name="Comma 13" xfId="137"/>
    <cellStyle name="Comma 13 2" xfId="138"/>
    <cellStyle name="Comma 13 3" xfId="139"/>
    <cellStyle name="Comma 13 4" xfId="140"/>
    <cellStyle name="Comma 13 5" xfId="141"/>
    <cellStyle name="Comma 13 6" xfId="142"/>
    <cellStyle name="Comma 13 7" xfId="143"/>
    <cellStyle name="Comma 13 8" xfId="144"/>
    <cellStyle name="Comma 13 9" xfId="145"/>
    <cellStyle name="Comma 130" xfId="146"/>
    <cellStyle name="Comma 131" xfId="147"/>
    <cellStyle name="Comma 133" xfId="148"/>
    <cellStyle name="Comma 134" xfId="149"/>
    <cellStyle name="Comma 135" xfId="150"/>
    <cellStyle name="Comma 136" xfId="151"/>
    <cellStyle name="Comma 137" xfId="152"/>
    <cellStyle name="Comma 138" xfId="153"/>
    <cellStyle name="Comma 14" xfId="154"/>
    <cellStyle name="Comma 14 2" xfId="155"/>
    <cellStyle name="Comma 14 3" xfId="156"/>
    <cellStyle name="Comma 14 4" xfId="157"/>
    <cellStyle name="Comma 14 5" xfId="158"/>
    <cellStyle name="Comma 14 6" xfId="159"/>
    <cellStyle name="Comma 14 7" xfId="160"/>
    <cellStyle name="Comma 14 8" xfId="161"/>
    <cellStyle name="Comma 14 9" xfId="162"/>
    <cellStyle name="Comma 140" xfId="163"/>
    <cellStyle name="Comma 141" xfId="164"/>
    <cellStyle name="Comma 142" xfId="165"/>
    <cellStyle name="Comma 143" xfId="166"/>
    <cellStyle name="Comma 145" xfId="167"/>
    <cellStyle name="Comma 146" xfId="168"/>
    <cellStyle name="Comma 148" xfId="169"/>
    <cellStyle name="Comma 149" xfId="170"/>
    <cellStyle name="Comma 15" xfId="171"/>
    <cellStyle name="Comma 150" xfId="172"/>
    <cellStyle name="Comma 151" xfId="173"/>
    <cellStyle name="Comma 152" xfId="174"/>
    <cellStyle name="Comma 153" xfId="175"/>
    <cellStyle name="Comma 155" xfId="176"/>
    <cellStyle name="Comma 156" xfId="177"/>
    <cellStyle name="Comma 157" xfId="178"/>
    <cellStyle name="Comma 158" xfId="179"/>
    <cellStyle name="Comma 159" xfId="180"/>
    <cellStyle name="Comma 16 2" xfId="181"/>
    <cellStyle name="Comma 16 3" xfId="182"/>
    <cellStyle name="Comma 16 4" xfId="183"/>
    <cellStyle name="Comma 16 5" xfId="184"/>
    <cellStyle name="Comma 16 6" xfId="185"/>
    <cellStyle name="Comma 16 7" xfId="186"/>
    <cellStyle name="Comma 16 8" xfId="187"/>
    <cellStyle name="Comma 16 9" xfId="188"/>
    <cellStyle name="Comma 160" xfId="189"/>
    <cellStyle name="Comma 161" xfId="190"/>
    <cellStyle name="Comma 162" xfId="191"/>
    <cellStyle name="Comma 18 2" xfId="192"/>
    <cellStyle name="Comma 18 3" xfId="193"/>
    <cellStyle name="Comma 18 4" xfId="194"/>
    <cellStyle name="Comma 18 5" xfId="195"/>
    <cellStyle name="Comma 18 6" xfId="196"/>
    <cellStyle name="Comma 18 7" xfId="197"/>
    <cellStyle name="Comma 18 8" xfId="198"/>
    <cellStyle name="Comma 18 9" xfId="199"/>
    <cellStyle name="Comma 2" xfId="4"/>
    <cellStyle name="Comma 2 2" xfId="39"/>
    <cellStyle name="Comma 2 3" xfId="200"/>
    <cellStyle name="Comma 2 4" xfId="201"/>
    <cellStyle name="Comma 2 5" xfId="202"/>
    <cellStyle name="Comma 2 6" xfId="36"/>
    <cellStyle name="Comma 21 2" xfId="203"/>
    <cellStyle name="Comma 21 3" xfId="204"/>
    <cellStyle name="Comma 21 4" xfId="205"/>
    <cellStyle name="Comma 21 5" xfId="206"/>
    <cellStyle name="Comma 21 6" xfId="207"/>
    <cellStyle name="Comma 21 7" xfId="208"/>
    <cellStyle name="Comma 21 8" xfId="209"/>
    <cellStyle name="Comma 21 9" xfId="210"/>
    <cellStyle name="Comma 23 2" xfId="211"/>
    <cellStyle name="Comma 23 3" xfId="212"/>
    <cellStyle name="Comma 23 4" xfId="213"/>
    <cellStyle name="Comma 23 5" xfId="214"/>
    <cellStyle name="Comma 23 6" xfId="215"/>
    <cellStyle name="Comma 23 7" xfId="216"/>
    <cellStyle name="Comma 23 8" xfId="217"/>
    <cellStyle name="Comma 23 9" xfId="218"/>
    <cellStyle name="Comma 25 2" xfId="219"/>
    <cellStyle name="Comma 25 3" xfId="220"/>
    <cellStyle name="Comma 25 4" xfId="221"/>
    <cellStyle name="Comma 25 5" xfId="222"/>
    <cellStyle name="Comma 25 6" xfId="223"/>
    <cellStyle name="Comma 25 7" xfId="224"/>
    <cellStyle name="Comma 25 8" xfId="225"/>
    <cellStyle name="Comma 25 9" xfId="226"/>
    <cellStyle name="Comma 27 2" xfId="227"/>
    <cellStyle name="Comma 27 3" xfId="228"/>
    <cellStyle name="Comma 27 4" xfId="229"/>
    <cellStyle name="Comma 27 5" xfId="230"/>
    <cellStyle name="Comma 27 6" xfId="231"/>
    <cellStyle name="Comma 27 7" xfId="232"/>
    <cellStyle name="Comma 27 8" xfId="233"/>
    <cellStyle name="Comma 27 9" xfId="234"/>
    <cellStyle name="Comma 29 2" xfId="235"/>
    <cellStyle name="Comma 29 3" xfId="236"/>
    <cellStyle name="Comma 29 4" xfId="237"/>
    <cellStyle name="Comma 29 5" xfId="238"/>
    <cellStyle name="Comma 29 6" xfId="239"/>
    <cellStyle name="Comma 29 7" xfId="240"/>
    <cellStyle name="Comma 29 8" xfId="241"/>
    <cellStyle name="Comma 29 9" xfId="242"/>
    <cellStyle name="Comma 3" xfId="37"/>
    <cellStyle name="Comma 3 2" xfId="243"/>
    <cellStyle name="Comma 3 2 2" xfId="244"/>
    <cellStyle name="Comma 3 3" xfId="245"/>
    <cellStyle name="Comma 30" xfId="246"/>
    <cellStyle name="Comma 31" xfId="247"/>
    <cellStyle name="Comma 31 2" xfId="248"/>
    <cellStyle name="Comma 31 3" xfId="249"/>
    <cellStyle name="Comma 31 4" xfId="250"/>
    <cellStyle name="Comma 31 5" xfId="251"/>
    <cellStyle name="Comma 31 6" xfId="252"/>
    <cellStyle name="Comma 31 7" xfId="253"/>
    <cellStyle name="Comma 31 8" xfId="254"/>
    <cellStyle name="Comma 31 9" xfId="255"/>
    <cellStyle name="Comma 33 2" xfId="256"/>
    <cellStyle name="Comma 33 3" xfId="257"/>
    <cellStyle name="Comma 33 4" xfId="258"/>
    <cellStyle name="Comma 33 5" xfId="259"/>
    <cellStyle name="Comma 33 6" xfId="260"/>
    <cellStyle name="Comma 33 7" xfId="261"/>
    <cellStyle name="Comma 33 8" xfId="262"/>
    <cellStyle name="Comma 33 9" xfId="263"/>
    <cellStyle name="Comma 35 2" xfId="264"/>
    <cellStyle name="Comma 35 3" xfId="265"/>
    <cellStyle name="Comma 35 4" xfId="266"/>
    <cellStyle name="Comma 35 5" xfId="267"/>
    <cellStyle name="Comma 35 6" xfId="268"/>
    <cellStyle name="Comma 35 7" xfId="269"/>
    <cellStyle name="Comma 35 8" xfId="270"/>
    <cellStyle name="Comma 35 9" xfId="271"/>
    <cellStyle name="Comma 4" xfId="38"/>
    <cellStyle name="Comma 4 2" xfId="272"/>
    <cellStyle name="Comma 4 3" xfId="273"/>
    <cellStyle name="Comma 4 4" xfId="274"/>
    <cellStyle name="Comma 4 5" xfId="275"/>
    <cellStyle name="Comma 4 6" xfId="276"/>
    <cellStyle name="Comma 4 7" xfId="277"/>
    <cellStyle name="Comma 4 8" xfId="278"/>
    <cellStyle name="Comma 4 9" xfId="279"/>
    <cellStyle name="Comma 41" xfId="280"/>
    <cellStyle name="Comma 44" xfId="281"/>
    <cellStyle name="Comma 47" xfId="282"/>
    <cellStyle name="Comma 5" xfId="41"/>
    <cellStyle name="Comma 5 2" xfId="283"/>
    <cellStyle name="Comma 5 3" xfId="284"/>
    <cellStyle name="Comma 5 4" xfId="285"/>
    <cellStyle name="Comma 5 5" xfId="286"/>
    <cellStyle name="Comma 5 6" xfId="287"/>
    <cellStyle name="Comma 5 7" xfId="288"/>
    <cellStyle name="Comma 5 8" xfId="289"/>
    <cellStyle name="Comma 5 9" xfId="290"/>
    <cellStyle name="Comma 59" xfId="291"/>
    <cellStyle name="Comma 6" xfId="292"/>
    <cellStyle name="Comma 61" xfId="293"/>
    <cellStyle name="Comma 7" xfId="294"/>
    <cellStyle name="Comma 7 2" xfId="295"/>
    <cellStyle name="Comma 7 3" xfId="296"/>
    <cellStyle name="Comma 7 4" xfId="297"/>
    <cellStyle name="Comma 7 5" xfId="298"/>
    <cellStyle name="Comma 7 6" xfId="299"/>
    <cellStyle name="Comma 7 7" xfId="300"/>
    <cellStyle name="Comma 7 8" xfId="301"/>
    <cellStyle name="Comma 7 9" xfId="302"/>
    <cellStyle name="Comma 8" xfId="303"/>
    <cellStyle name="Comma 8 2" xfId="304"/>
    <cellStyle name="Comma 8 3" xfId="305"/>
    <cellStyle name="Comma 8 4" xfId="306"/>
    <cellStyle name="Comma 8 5" xfId="307"/>
    <cellStyle name="Comma 8 6" xfId="308"/>
    <cellStyle name="Comma 8 7" xfId="309"/>
    <cellStyle name="Comma 8 8" xfId="310"/>
    <cellStyle name="Comma 8 9" xfId="311"/>
    <cellStyle name="Comma 83" xfId="312"/>
    <cellStyle name="Comma 9" xfId="313"/>
    <cellStyle name="Comma 9 2" xfId="314"/>
    <cellStyle name="Comma 9 3" xfId="315"/>
    <cellStyle name="Comma 9 4" xfId="316"/>
    <cellStyle name="Comma 9 5" xfId="317"/>
    <cellStyle name="Comma 9 6" xfId="318"/>
    <cellStyle name="Comma 9 7" xfId="319"/>
    <cellStyle name="Comma 9 8" xfId="320"/>
    <cellStyle name="Comma 9 9" xfId="321"/>
    <cellStyle name="Comma0 - Modelo1" xfId="8"/>
    <cellStyle name="Comma0 - Style1" xfId="9"/>
    <cellStyle name="Comma1 - Modelo2" xfId="10"/>
    <cellStyle name="Comma1 - Style2" xfId="11"/>
    <cellStyle name="Currency" xfId="2" builtinId="4"/>
    <cellStyle name="Currency 2" xfId="5"/>
    <cellStyle name="Currency 2 2" xfId="322"/>
    <cellStyle name="Currency 3" xfId="323"/>
    <cellStyle name="Currency 4" xfId="387"/>
    <cellStyle name="Dia" xfId="12"/>
    <cellStyle name="Encabez1" xfId="13"/>
    <cellStyle name="Encabez2" xfId="14"/>
    <cellStyle name="Header 1" xfId="15"/>
    <cellStyle name="Header 1 Left" xfId="16"/>
    <cellStyle name="Header 1(box)" xfId="17"/>
    <cellStyle name="Header 1(middle)" xfId="18"/>
    <cellStyle name="Header 1_Front Page" xfId="19"/>
    <cellStyle name="Header 2" xfId="20"/>
    <cellStyle name="Header Price 1" xfId="21"/>
    <cellStyle name="Header Price 2" xfId="22"/>
    <cellStyle name="Helv 8" xfId="23"/>
    <cellStyle name="Hyperlink 2" xfId="324"/>
    <cellStyle name="Îáû÷íûé_Ðîëü PGS 11.09.95" xfId="24"/>
    <cellStyle name="Kolonne" xfId="325"/>
    <cellStyle name="KPMG Heading 1" xfId="326"/>
    <cellStyle name="KPMG Heading 2" xfId="327"/>
    <cellStyle name="KPMG Heading 3" xfId="328"/>
    <cellStyle name="KPMG Heading 4" xfId="329"/>
    <cellStyle name="KPMG Normal" xfId="330"/>
    <cellStyle name="KPMG Normal Text" xfId="331"/>
    <cellStyle name="Millares [0]_Well Timing" xfId="332"/>
    <cellStyle name="Millares_Well Timing" xfId="333"/>
    <cellStyle name="Moneda [0]_Well Timing" xfId="334"/>
    <cellStyle name="Moneda_Well Timing" xfId="335"/>
    <cellStyle name="N0" xfId="25"/>
    <cellStyle name="N1" xfId="26"/>
    <cellStyle name="N2" xfId="27"/>
    <cellStyle name="N3" xfId="28"/>
    <cellStyle name="N4" xfId="29"/>
    <cellStyle name="Normal" xfId="0" builtinId="0"/>
    <cellStyle name="Normal - Style1" xfId="336"/>
    <cellStyle name="Normal - Style2" xfId="337"/>
    <cellStyle name="Normal 10" xfId="338"/>
    <cellStyle name="Normal 10 2" xfId="388"/>
    <cellStyle name="Normal 11" xfId="339"/>
    <cellStyle name="Normal 12" xfId="340"/>
    <cellStyle name="Normal 13" xfId="341"/>
    <cellStyle name="Normal 14" xfId="342"/>
    <cellStyle name="Normal 15" xfId="343"/>
    <cellStyle name="Normal 16" xfId="344"/>
    <cellStyle name="Normal 17" xfId="345"/>
    <cellStyle name="Normal 18" xfId="346"/>
    <cellStyle name="Normal 19" xfId="347"/>
    <cellStyle name="Normal 2" xfId="3"/>
    <cellStyle name="Normal 2 2" xfId="35"/>
    <cellStyle name="Normal 2 2 2" xfId="348"/>
    <cellStyle name="Normal 2 2 3" xfId="349"/>
    <cellStyle name="Normal 2 3" xfId="350"/>
    <cellStyle name="Normal 2 4" xfId="6"/>
    <cellStyle name="Normal 20" xfId="351"/>
    <cellStyle name="Normal 21" xfId="352"/>
    <cellStyle name="Normal 22" xfId="353"/>
    <cellStyle name="Normal 23" xfId="354"/>
    <cellStyle name="Normal 24" xfId="355"/>
    <cellStyle name="Normal 25" xfId="356"/>
    <cellStyle name="Normal 26" xfId="357"/>
    <cellStyle name="Normal 27" xfId="358"/>
    <cellStyle name="Normal 28" xfId="359"/>
    <cellStyle name="Normal 29" xfId="389"/>
    <cellStyle name="Normal 3" xfId="30"/>
    <cellStyle name="Normal 3 2" xfId="360"/>
    <cellStyle name="Normal 30" xfId="391"/>
    <cellStyle name="Normal 31" xfId="390"/>
    <cellStyle name="Normal 32" xfId="392"/>
    <cellStyle name="Normal 4" xfId="31"/>
    <cellStyle name="Normal 4 2" xfId="361"/>
    <cellStyle name="Normal 5" xfId="34"/>
    <cellStyle name="Normal 6" xfId="40"/>
    <cellStyle name="Normal 7" xfId="362"/>
    <cellStyle name="Normal 8" xfId="363"/>
    <cellStyle name="Normal 82" xfId="364"/>
    <cellStyle name="Normal 83" xfId="365"/>
    <cellStyle name="Normal 9" xfId="366"/>
    <cellStyle name="Note 2" xfId="367"/>
    <cellStyle name="Note 3" xfId="368"/>
    <cellStyle name="Note 4" xfId="369"/>
    <cellStyle name="Note 5" xfId="370"/>
    <cellStyle name="Note 6" xfId="371"/>
    <cellStyle name="Note 7" xfId="372"/>
    <cellStyle name="Òûñÿ÷è [0]_PGSLAB" xfId="32"/>
    <cellStyle name="Òûñÿ÷è_PGSLAB" xfId="33"/>
    <cellStyle name="Percent 2" xfId="373"/>
    <cellStyle name="Percent 2 2" xfId="374"/>
    <cellStyle name="Percent 3" xfId="375"/>
    <cellStyle name="Percent 4" xfId="376"/>
    <cellStyle name="Percent 5" xfId="377"/>
    <cellStyle name="Percent 6" xfId="378"/>
    <cellStyle name="PSChar" xfId="379"/>
    <cellStyle name="PSChar 2" xfId="380"/>
    <cellStyle name="PSDate" xfId="381"/>
    <cellStyle name="PSDec" xfId="382"/>
    <cellStyle name="PSHeading" xfId="383"/>
    <cellStyle name="PSInt" xfId="384"/>
    <cellStyle name="PSSpacer" xfId="385"/>
    <cellStyle name="Tabelltittel" xfId="3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65"/>
  <sheetViews>
    <sheetView showGridLines="0" tabSelected="1" zoomScale="110" zoomScaleNormal="110" workbookViewId="0">
      <selection sqref="A1:P1"/>
    </sheetView>
  </sheetViews>
  <sheetFormatPr defaultColWidth="9.140625" defaultRowHeight="12.75"/>
  <cols>
    <col min="1" max="1" width="2.5703125" style="1" customWidth="1"/>
    <col min="2" max="2" width="50.140625" style="4" customWidth="1"/>
    <col min="3" max="3" width="1.7109375" style="4" customWidth="1"/>
    <col min="4" max="4" width="5.7109375" style="4" customWidth="1"/>
    <col min="5" max="5" width="1.7109375" style="4" customWidth="1"/>
    <col min="6" max="6" width="13.42578125" style="1" bestFit="1" customWidth="1"/>
    <col min="7" max="7" width="1.140625" style="1" customWidth="1"/>
    <col min="8" max="8" width="13.42578125" style="1" bestFit="1" customWidth="1"/>
    <col min="9" max="9" width="1.7109375" style="4" customWidth="1"/>
    <col min="10" max="10" width="11.85546875" style="4" customWidth="1"/>
    <col min="11" max="11" width="1.7109375" style="4" customWidth="1"/>
    <col min="12" max="12" width="11.5703125" style="4" customWidth="1"/>
    <col min="13" max="13" width="2" style="4" customWidth="1"/>
    <col min="14" max="14" width="15.5703125" style="1" customWidth="1"/>
    <col min="15" max="15" width="0.42578125" style="1" customWidth="1"/>
    <col min="16" max="16" width="0.140625" style="1" hidden="1" customWidth="1"/>
    <col min="17" max="17" width="11.42578125" style="1" customWidth="1"/>
    <col min="18" max="18" width="13.42578125" style="1" bestFit="1" customWidth="1"/>
    <col min="19" max="19" width="1.140625" style="1" customWidth="1"/>
    <col min="20" max="20" width="13.42578125" style="1" bestFit="1" customWidth="1"/>
    <col min="21" max="21" width="5" style="1" customWidth="1"/>
    <col min="22" max="22" width="5.140625" style="1" customWidth="1"/>
    <col min="23" max="23" width="7.28515625" style="1" customWidth="1"/>
    <col min="24" max="24" width="5.42578125" style="1" customWidth="1"/>
    <col min="25" max="26" width="9.140625" style="1" customWidth="1"/>
    <col min="27" max="16384" width="9.140625" style="1"/>
  </cols>
  <sheetData>
    <row r="1" spans="1:32" ht="18.75">
      <c r="A1" s="520" t="s">
        <v>246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110"/>
      <c r="R1" s="110"/>
      <c r="S1" s="110"/>
      <c r="T1" s="110"/>
      <c r="U1" s="110"/>
      <c r="V1" s="9"/>
      <c r="W1" s="8"/>
      <c r="X1" s="8"/>
      <c r="Y1" s="8"/>
      <c r="Z1" s="128"/>
      <c r="AA1" s="8"/>
      <c r="AB1" s="8"/>
      <c r="AC1" s="8"/>
    </row>
    <row r="2" spans="1:32" ht="11.25" customHeight="1" thickBot="1">
      <c r="A2" s="192"/>
      <c r="B2" s="192"/>
      <c r="C2" s="192"/>
      <c r="D2" s="192"/>
      <c r="E2" s="192"/>
      <c r="F2" s="206"/>
      <c r="G2" s="206"/>
      <c r="H2" s="207"/>
      <c r="I2" s="192"/>
      <c r="J2" s="192"/>
      <c r="K2" s="192"/>
      <c r="L2" s="192"/>
      <c r="M2" s="192"/>
      <c r="N2" s="206"/>
      <c r="O2" s="207"/>
      <c r="P2" s="207"/>
      <c r="Q2" s="87"/>
      <c r="R2" s="87"/>
      <c r="S2" s="112"/>
      <c r="T2" s="132"/>
      <c r="U2" s="87"/>
      <c r="V2" s="20"/>
      <c r="W2" s="8"/>
      <c r="X2" s="8"/>
      <c r="Y2" s="8"/>
      <c r="Z2" s="128"/>
      <c r="AA2" s="8"/>
      <c r="AB2" s="8"/>
      <c r="AC2" s="8"/>
    </row>
    <row r="3" spans="1:32" s="43" customFormat="1" ht="11.45" customHeight="1">
      <c r="A3" s="150"/>
      <c r="B3" s="150"/>
      <c r="C3" s="150"/>
      <c r="D3" s="150"/>
      <c r="E3" s="150"/>
      <c r="F3" s="521" t="s">
        <v>6</v>
      </c>
      <c r="G3" s="521"/>
      <c r="H3" s="521"/>
      <c r="I3" s="150"/>
      <c r="J3" s="521" t="s">
        <v>238</v>
      </c>
      <c r="K3" s="521"/>
      <c r="L3" s="521"/>
      <c r="M3" s="407"/>
      <c r="N3" s="521" t="s">
        <v>21</v>
      </c>
      <c r="O3" s="521"/>
      <c r="P3" s="162"/>
      <c r="Q3" s="47"/>
      <c r="R3" s="47"/>
      <c r="S3" s="46"/>
      <c r="T3" s="46"/>
      <c r="U3" s="47"/>
      <c r="V3" s="47"/>
      <c r="W3" s="98"/>
      <c r="X3" s="47"/>
    </row>
    <row r="4" spans="1:32" s="45" customFormat="1" ht="11.45" customHeight="1">
      <c r="A4" s="150"/>
      <c r="B4" s="150"/>
      <c r="C4" s="150"/>
      <c r="D4" s="163"/>
      <c r="E4" s="163"/>
      <c r="F4" s="522" t="s">
        <v>237</v>
      </c>
      <c r="G4" s="522"/>
      <c r="H4" s="522"/>
      <c r="I4" s="163"/>
      <c r="J4" s="522" t="s">
        <v>237</v>
      </c>
      <c r="K4" s="522"/>
      <c r="L4" s="522"/>
      <c r="M4" s="519"/>
      <c r="N4" s="522" t="s">
        <v>1</v>
      </c>
      <c r="O4" s="522"/>
      <c r="P4" s="164"/>
      <c r="Q4" s="137"/>
      <c r="R4" s="137"/>
      <c r="S4" s="46"/>
      <c r="T4" s="46"/>
      <c r="U4" s="115"/>
      <c r="V4" s="48"/>
      <c r="W4" s="48"/>
      <c r="X4" s="48"/>
    </row>
    <row r="5" spans="1:32" ht="11.45" customHeight="1" thickBot="1">
      <c r="A5" s="208" t="s">
        <v>107</v>
      </c>
      <c r="B5" s="194"/>
      <c r="C5" s="193"/>
      <c r="D5" s="194" t="s">
        <v>39</v>
      </c>
      <c r="E5" s="193"/>
      <c r="F5" s="195">
        <v>2016</v>
      </c>
      <c r="G5" s="193"/>
      <c r="H5" s="194">
        <v>2015</v>
      </c>
      <c r="I5" s="193"/>
      <c r="J5" s="195">
        <v>2016</v>
      </c>
      <c r="K5" s="193"/>
      <c r="L5" s="194">
        <v>2015</v>
      </c>
      <c r="M5" s="193"/>
      <c r="N5" s="194">
        <v>2015</v>
      </c>
      <c r="O5" s="193"/>
      <c r="P5" s="193"/>
      <c r="Q5" s="99"/>
      <c r="R5" s="99"/>
      <c r="S5" s="99"/>
      <c r="T5" s="99"/>
      <c r="U5" s="132"/>
      <c r="V5" s="7"/>
    </row>
    <row r="6" spans="1:32" ht="11.45" customHeight="1">
      <c r="A6" s="198"/>
      <c r="B6" s="193"/>
      <c r="C6" s="193"/>
      <c r="D6" s="193"/>
      <c r="E6" s="193"/>
      <c r="F6" s="196"/>
      <c r="G6" s="193"/>
      <c r="H6" s="209"/>
      <c r="I6" s="193"/>
      <c r="J6" s="193"/>
      <c r="K6" s="193"/>
      <c r="L6" s="193"/>
      <c r="M6" s="193"/>
      <c r="N6" s="209"/>
      <c r="O6" s="193"/>
      <c r="P6" s="193"/>
      <c r="Q6" s="99"/>
      <c r="R6" s="99"/>
      <c r="S6" s="99"/>
      <c r="T6" s="99"/>
      <c r="U6" s="132"/>
      <c r="V6" s="7"/>
      <c r="AA6" s="18"/>
      <c r="AB6" s="18"/>
      <c r="AC6" s="18"/>
      <c r="AD6" s="18"/>
    </row>
    <row r="7" spans="1:32" ht="11.45" customHeight="1">
      <c r="A7" s="288" t="s">
        <v>17</v>
      </c>
      <c r="B7" s="288"/>
      <c r="C7" s="185"/>
      <c r="D7" s="307">
        <v>1</v>
      </c>
      <c r="E7" s="185"/>
      <c r="F7" s="434">
        <f>Notes!F9</f>
        <v>183.03900000000002</v>
      </c>
      <c r="G7" s="159"/>
      <c r="H7" s="202">
        <v>255.8</v>
      </c>
      <c r="I7" s="188"/>
      <c r="J7" s="435">
        <f>Notes!J9</f>
        <v>386.13900000000001</v>
      </c>
      <c r="K7" s="185"/>
      <c r="L7" s="421">
        <v>506.9</v>
      </c>
      <c r="M7" s="185"/>
      <c r="N7" s="202">
        <v>961.9</v>
      </c>
      <c r="O7" s="174"/>
      <c r="P7" s="159"/>
      <c r="Q7" s="99"/>
      <c r="R7" s="99"/>
      <c r="S7" s="99"/>
      <c r="T7" s="99"/>
      <c r="U7" s="99"/>
      <c r="V7" s="12"/>
      <c r="W7" s="7"/>
      <c r="X7" s="7"/>
      <c r="AA7" s="99"/>
      <c r="AB7" s="133"/>
      <c r="AC7" s="18"/>
      <c r="AD7" s="18"/>
    </row>
    <row r="8" spans="1:32" ht="11.45" customHeight="1">
      <c r="A8" s="185"/>
      <c r="B8" s="185"/>
      <c r="C8" s="185"/>
      <c r="D8" s="307"/>
      <c r="E8" s="185"/>
      <c r="F8" s="371"/>
      <c r="G8" s="159"/>
      <c r="H8" s="159"/>
      <c r="I8" s="188"/>
      <c r="J8" s="423"/>
      <c r="K8" s="185"/>
      <c r="L8" s="419"/>
      <c r="M8" s="185"/>
      <c r="N8" s="159"/>
      <c r="O8" s="174"/>
      <c r="P8" s="159"/>
      <c r="Q8" s="99"/>
      <c r="R8" s="99"/>
      <c r="S8" s="99"/>
      <c r="T8" s="99"/>
      <c r="U8" s="99"/>
      <c r="V8" s="12"/>
      <c r="W8" s="7"/>
      <c r="X8" s="7"/>
      <c r="AA8" s="99"/>
      <c r="AB8" s="133"/>
      <c r="AC8" s="18"/>
      <c r="AD8" s="18"/>
    </row>
    <row r="9" spans="1:32" ht="11.45" customHeight="1">
      <c r="A9" s="173" t="s">
        <v>40</v>
      </c>
      <c r="B9" s="173"/>
      <c r="C9" s="185"/>
      <c r="D9" s="308">
        <v>2</v>
      </c>
      <c r="E9" s="185"/>
      <c r="F9" s="369">
        <f>Notes!F55+Notes!F59</f>
        <v>100.833</v>
      </c>
      <c r="G9" s="159"/>
      <c r="H9" s="158">
        <f>179.5-64.035</f>
        <v>115.465</v>
      </c>
      <c r="I9" s="188"/>
      <c r="J9" s="423">
        <f>Notes!J55+Notes!J59</f>
        <v>206.93300000000005</v>
      </c>
      <c r="K9" s="185"/>
      <c r="L9" s="419">
        <f>359.62-137.612+0.06</f>
        <v>222.06800000000001</v>
      </c>
      <c r="M9" s="185"/>
      <c r="N9" s="158">
        <v>413.1</v>
      </c>
      <c r="O9" s="174"/>
      <c r="P9" s="176"/>
      <c r="Q9" s="99"/>
      <c r="R9" s="99"/>
      <c r="S9" s="99"/>
      <c r="T9" s="99"/>
      <c r="U9" s="99"/>
      <c r="V9" s="28"/>
      <c r="W9" s="7"/>
      <c r="X9" s="7"/>
      <c r="AA9" s="99"/>
      <c r="AB9" s="133"/>
      <c r="AC9" s="18"/>
      <c r="AD9" s="18"/>
    </row>
    <row r="10" spans="1:32" ht="11.45" customHeight="1">
      <c r="A10" s="173" t="s">
        <v>41</v>
      </c>
      <c r="B10" s="173"/>
      <c r="C10" s="185"/>
      <c r="D10" s="309">
        <v>2</v>
      </c>
      <c r="E10" s="185"/>
      <c r="F10" s="369">
        <f>Notes!F56+Notes!F60</f>
        <v>4.6989999999999998</v>
      </c>
      <c r="G10" s="158"/>
      <c r="H10" s="158">
        <v>5.2</v>
      </c>
      <c r="I10" s="188"/>
      <c r="J10" s="423">
        <f>Notes!J56+Notes!J60</f>
        <v>10.516999999999999</v>
      </c>
      <c r="K10" s="185"/>
      <c r="L10" s="419">
        <v>11.1</v>
      </c>
      <c r="M10" s="185"/>
      <c r="N10" s="158">
        <v>20.3</v>
      </c>
      <c r="O10" s="176"/>
      <c r="P10" s="176"/>
      <c r="Q10" s="99"/>
      <c r="R10" s="99"/>
      <c r="S10" s="99"/>
      <c r="T10" s="99"/>
      <c r="U10" s="99"/>
      <c r="V10" s="113"/>
      <c r="W10" s="7"/>
      <c r="X10" s="7"/>
      <c r="Y10" s="40"/>
      <c r="AA10" s="99"/>
      <c r="AB10" s="133"/>
      <c r="AC10" s="18"/>
      <c r="AD10" s="18"/>
      <c r="AE10" s="1" t="s">
        <v>36</v>
      </c>
    </row>
    <row r="11" spans="1:32" ht="11.45" customHeight="1">
      <c r="A11" s="185" t="s">
        <v>42</v>
      </c>
      <c r="B11" s="185"/>
      <c r="C11" s="185"/>
      <c r="D11" s="285">
        <v>2</v>
      </c>
      <c r="E11" s="185"/>
      <c r="F11" s="369">
        <f>+Notes!F57</f>
        <v>8.6850000000000005</v>
      </c>
      <c r="G11" s="159"/>
      <c r="H11" s="158">
        <v>10</v>
      </c>
      <c r="I11" s="188"/>
      <c r="J11" s="423">
        <f>Notes!J57</f>
        <v>21.185000000000002</v>
      </c>
      <c r="K11" s="185"/>
      <c r="L11" s="419">
        <v>21.1</v>
      </c>
      <c r="M11" s="185"/>
      <c r="N11" s="158">
        <v>44.1</v>
      </c>
      <c r="O11" s="174"/>
      <c r="P11" s="174"/>
      <c r="Q11" s="99"/>
      <c r="R11" s="99"/>
      <c r="S11" s="99"/>
      <c r="T11" s="99"/>
      <c r="U11" s="99"/>
      <c r="V11" s="114"/>
      <c r="W11" s="7"/>
      <c r="X11" s="7"/>
      <c r="AA11" s="99"/>
      <c r="AB11" s="133"/>
      <c r="AC11" s="18"/>
      <c r="AD11" s="18"/>
    </row>
    <row r="12" spans="1:32" ht="11.45" customHeight="1">
      <c r="A12" s="173" t="s">
        <v>5</v>
      </c>
      <c r="B12" s="173"/>
      <c r="C12" s="185"/>
      <c r="D12" s="309">
        <v>3</v>
      </c>
      <c r="E12" s="185"/>
      <c r="F12" s="158">
        <f>Notes!F71+Notes!F72+Notes!F73</f>
        <v>105.018</v>
      </c>
      <c r="G12" s="158"/>
      <c r="H12" s="158">
        <v>109.1</v>
      </c>
      <c r="I12" s="188"/>
      <c r="J12" s="423">
        <f>Notes!J71+Notes!J72+Notes!J73</f>
        <v>213.79700000000003</v>
      </c>
      <c r="K12" s="185"/>
      <c r="L12" s="419">
        <v>223.1</v>
      </c>
      <c r="M12" s="185"/>
      <c r="N12" s="158">
        <v>468.5</v>
      </c>
      <c r="O12" s="176"/>
      <c r="P12" s="176"/>
      <c r="Q12" s="99"/>
      <c r="R12" s="99"/>
      <c r="S12" s="99"/>
      <c r="T12" s="99"/>
      <c r="U12" s="99"/>
      <c r="V12" s="113"/>
      <c r="W12" s="7"/>
      <c r="X12" s="7"/>
      <c r="AA12" s="99"/>
      <c r="AB12" s="133"/>
      <c r="AC12" s="18"/>
      <c r="AD12" s="18"/>
    </row>
    <row r="13" spans="1:32" ht="11.45" customHeight="1">
      <c r="A13" s="173" t="s">
        <v>196</v>
      </c>
      <c r="B13" s="173"/>
      <c r="C13" s="185"/>
      <c r="D13" s="309">
        <v>3</v>
      </c>
      <c r="E13" s="185"/>
      <c r="F13" s="369">
        <f>+Notes!F74</f>
        <v>4.2430000000000003</v>
      </c>
      <c r="G13" s="158"/>
      <c r="H13" s="158">
        <v>56.9</v>
      </c>
      <c r="I13" s="188"/>
      <c r="J13" s="423">
        <f>Notes!J74</f>
        <v>4.2430000000000003</v>
      </c>
      <c r="K13" s="185"/>
      <c r="L13" s="419">
        <v>56.9</v>
      </c>
      <c r="M13" s="185"/>
      <c r="N13" s="158">
        <v>397.2</v>
      </c>
      <c r="O13" s="176"/>
      <c r="P13" s="176"/>
      <c r="Q13" s="99"/>
      <c r="R13" s="99"/>
      <c r="S13" s="99"/>
      <c r="T13" s="99"/>
      <c r="U13" s="99"/>
      <c r="V13" s="113"/>
      <c r="W13" s="7"/>
      <c r="X13" s="7"/>
      <c r="Y13" s="37"/>
      <c r="AA13" s="99"/>
      <c r="AB13" s="133"/>
      <c r="AC13" s="18"/>
      <c r="AD13" s="18"/>
    </row>
    <row r="14" spans="1:32" ht="11.45" customHeight="1">
      <c r="A14" s="173" t="s">
        <v>197</v>
      </c>
      <c r="B14" s="173"/>
      <c r="C14" s="185"/>
      <c r="D14" s="309">
        <v>3</v>
      </c>
      <c r="E14" s="185"/>
      <c r="F14" s="369">
        <f>Notes!F75</f>
        <v>4.1529999999999996</v>
      </c>
      <c r="G14" s="158"/>
      <c r="H14" s="158">
        <v>4.7</v>
      </c>
      <c r="I14" s="188"/>
      <c r="J14" s="435">
        <f>Notes!J75</f>
        <v>5.5659999999999998</v>
      </c>
      <c r="K14" s="185"/>
      <c r="L14" s="421">
        <v>7.4</v>
      </c>
      <c r="M14" s="185"/>
      <c r="N14" s="202">
        <v>49</v>
      </c>
      <c r="O14" s="176"/>
      <c r="P14" s="176"/>
      <c r="Q14" s="424"/>
      <c r="R14" s="424"/>
      <c r="S14" s="99"/>
      <c r="T14" s="99"/>
      <c r="U14" s="99"/>
      <c r="V14" s="99"/>
      <c r="W14" s="99"/>
      <c r="X14" s="99">
        <f>Q7-Q9-Q10-Q11</f>
        <v>0</v>
      </c>
      <c r="Y14" s="37"/>
      <c r="AA14" s="99"/>
      <c r="AB14" s="133"/>
      <c r="AC14" s="18"/>
      <c r="AD14" s="18"/>
    </row>
    <row r="15" spans="1:32" ht="11.45" customHeight="1">
      <c r="A15" s="182"/>
      <c r="B15" s="182" t="s">
        <v>22</v>
      </c>
      <c r="C15" s="185"/>
      <c r="D15" s="285"/>
      <c r="E15" s="185"/>
      <c r="F15" s="367">
        <f>SUM(F9:F14)</f>
        <v>227.631</v>
      </c>
      <c r="G15" s="159"/>
      <c r="H15" s="184">
        <f>SUM(H9:H14)+0.1</f>
        <v>301.46500000000003</v>
      </c>
      <c r="I15" s="188"/>
      <c r="J15" s="184">
        <f>SUM(J9:J14)</f>
        <v>462.24100000000004</v>
      </c>
      <c r="K15" s="185"/>
      <c r="L15" s="422">
        <f>SUM(L9:L14)+0.1</f>
        <v>541.76800000000003</v>
      </c>
      <c r="M15" s="185"/>
      <c r="N15" s="184">
        <f>SUM(N9:N14)+0.1</f>
        <v>1392.3</v>
      </c>
      <c r="O15" s="174"/>
      <c r="P15" s="174"/>
      <c r="Q15" s="99"/>
      <c r="R15" s="99"/>
      <c r="S15" s="99"/>
      <c r="T15" s="99"/>
      <c r="U15" s="99"/>
      <c r="V15" s="114"/>
      <c r="W15" s="7"/>
      <c r="X15" s="7"/>
      <c r="Y15" s="17"/>
      <c r="Z15" s="17"/>
      <c r="AA15" s="99"/>
      <c r="AB15" s="133"/>
      <c r="AC15" s="18"/>
      <c r="AD15" s="18"/>
      <c r="AE15" s="17"/>
      <c r="AF15" s="17"/>
    </row>
    <row r="16" spans="1:32" ht="11.45" customHeight="1">
      <c r="A16" s="200"/>
      <c r="B16" s="185" t="s">
        <v>228</v>
      </c>
      <c r="C16" s="185"/>
      <c r="D16" s="307" t="s">
        <v>0</v>
      </c>
      <c r="E16" s="185"/>
      <c r="F16" s="371">
        <f>F7-F15</f>
        <v>-44.591999999999985</v>
      </c>
      <c r="G16" s="159"/>
      <c r="H16" s="371">
        <f>H7-H15</f>
        <v>-45.66500000000002</v>
      </c>
      <c r="I16" s="188"/>
      <c r="J16" s="423">
        <f>J7-J15</f>
        <v>-76.102000000000032</v>
      </c>
      <c r="K16" s="185"/>
      <c r="L16" s="419">
        <v>-34.799999999999997</v>
      </c>
      <c r="M16" s="185"/>
      <c r="N16" s="159">
        <f>N7-N15</f>
        <v>-430.4</v>
      </c>
      <c r="O16" s="174"/>
      <c r="P16" s="159"/>
      <c r="Q16" s="99"/>
      <c r="R16" s="99" t="s">
        <v>0</v>
      </c>
      <c r="S16" s="99"/>
      <c r="T16" s="99"/>
      <c r="U16" s="99"/>
      <c r="V16" s="114"/>
      <c r="W16" s="7"/>
      <c r="X16" s="7"/>
      <c r="Y16" s="17"/>
      <c r="Z16" s="17"/>
      <c r="AA16" s="99"/>
      <c r="AB16" s="133"/>
      <c r="AC16" s="18"/>
      <c r="AD16" s="18"/>
      <c r="AE16" s="17"/>
      <c r="AF16" s="17"/>
    </row>
    <row r="17" spans="1:32" ht="11.45" customHeight="1">
      <c r="A17" s="188" t="s">
        <v>201</v>
      </c>
      <c r="B17" s="188"/>
      <c r="C17" s="185"/>
      <c r="D17" s="307">
        <v>4</v>
      </c>
      <c r="E17" s="185"/>
      <c r="F17" s="371">
        <v>-0.98599999999999999</v>
      </c>
      <c r="G17" s="159"/>
      <c r="H17" s="159">
        <v>-2.4</v>
      </c>
      <c r="I17" s="188"/>
      <c r="J17" s="423">
        <f>-25.322+F17</f>
        <v>-26.308</v>
      </c>
      <c r="K17" s="185"/>
      <c r="L17" s="419">
        <v>-10</v>
      </c>
      <c r="M17" s="185"/>
      <c r="N17" s="159">
        <v>-16.100000000000001</v>
      </c>
      <c r="O17" s="174"/>
      <c r="P17" s="159"/>
      <c r="Q17" s="99"/>
      <c r="R17" s="99"/>
      <c r="S17" s="99"/>
      <c r="T17" s="99"/>
      <c r="U17" s="99"/>
      <c r="V17" s="114"/>
      <c r="W17" s="7"/>
      <c r="X17" s="7"/>
      <c r="Y17" s="17"/>
      <c r="Z17" s="17"/>
      <c r="AA17" s="99"/>
      <c r="AB17" s="133"/>
      <c r="AC17" s="18"/>
      <c r="AD17" s="18"/>
      <c r="AE17" s="17"/>
      <c r="AF17" s="17"/>
    </row>
    <row r="18" spans="1:32" ht="11.45" customHeight="1">
      <c r="A18" s="185" t="s">
        <v>13</v>
      </c>
      <c r="B18" s="185"/>
      <c r="C18" s="185"/>
      <c r="D18" s="307">
        <v>5</v>
      </c>
      <c r="E18" s="185"/>
      <c r="F18" s="371">
        <f>Notes!F91</f>
        <v>-11.040999999999999</v>
      </c>
      <c r="G18" s="159"/>
      <c r="H18" s="159">
        <v>-7.4</v>
      </c>
      <c r="I18" s="188"/>
      <c r="J18" s="423">
        <f>Notes!J91</f>
        <v>-17.829999999999998</v>
      </c>
      <c r="K18" s="185"/>
      <c r="L18" s="419">
        <v>-15.2</v>
      </c>
      <c r="M18" s="185"/>
      <c r="N18" s="159">
        <v>-29.5</v>
      </c>
      <c r="O18" s="174"/>
      <c r="P18" s="159"/>
      <c r="Q18" s="102"/>
      <c r="R18" s="102"/>
      <c r="S18" s="102"/>
      <c r="T18" s="102"/>
      <c r="U18" s="99"/>
      <c r="V18" s="114"/>
      <c r="W18" s="7"/>
      <c r="X18" s="7"/>
      <c r="Y18" s="17"/>
      <c r="Z18" s="17"/>
      <c r="AA18" s="99"/>
      <c r="AB18" s="133"/>
      <c r="AC18" s="18"/>
      <c r="AD18" s="18"/>
      <c r="AE18" s="17"/>
      <c r="AF18" s="17"/>
    </row>
    <row r="19" spans="1:32" ht="11.45" customHeight="1">
      <c r="A19" s="288" t="s">
        <v>114</v>
      </c>
      <c r="B19" s="288"/>
      <c r="C19" s="185"/>
      <c r="D19" s="307">
        <v>6</v>
      </c>
      <c r="E19" s="185"/>
      <c r="F19" s="434">
        <f>Notes!F104</f>
        <v>-0.94700000000000006</v>
      </c>
      <c r="G19" s="159"/>
      <c r="H19" s="202">
        <v>-2.2999999999999998</v>
      </c>
      <c r="I19" s="188"/>
      <c r="J19" s="435">
        <f>Notes!J104</f>
        <v>0.65300000000000047</v>
      </c>
      <c r="K19" s="185"/>
      <c r="L19" s="421">
        <v>-7.7</v>
      </c>
      <c r="M19" s="185"/>
      <c r="N19" s="202">
        <v>-29.6</v>
      </c>
      <c r="O19" s="174"/>
      <c r="P19" s="159"/>
      <c r="Q19" s="105"/>
      <c r="R19" s="105"/>
      <c r="S19" s="105"/>
      <c r="T19" s="105"/>
      <c r="U19" s="99"/>
      <c r="V19" s="114"/>
      <c r="W19" s="7"/>
      <c r="X19" s="7"/>
      <c r="Y19" s="17"/>
      <c r="Z19" s="17"/>
      <c r="AA19" s="99"/>
      <c r="AB19" s="133"/>
      <c r="AC19" s="18"/>
      <c r="AD19" s="18"/>
      <c r="AE19" s="17"/>
      <c r="AF19" s="17"/>
    </row>
    <row r="20" spans="1:32" ht="11.45" customHeight="1">
      <c r="A20" s="173" t="s">
        <v>0</v>
      </c>
      <c r="B20" s="173" t="s">
        <v>227</v>
      </c>
      <c r="C20" s="185"/>
      <c r="D20" s="310"/>
      <c r="E20" s="185"/>
      <c r="F20" s="369">
        <f>SUM(F16:F19)-0.1</f>
        <v>-57.665999999999983</v>
      </c>
      <c r="G20" s="159"/>
      <c r="H20" s="159">
        <f>SUM(H16:H19)-0.1</f>
        <v>-57.865000000000016</v>
      </c>
      <c r="I20" s="188"/>
      <c r="J20" s="159">
        <f>SUM(J16:J19)</f>
        <v>-119.58700000000002</v>
      </c>
      <c r="K20" s="185"/>
      <c r="L20" s="419">
        <f>SUM(L16:L19)-0.2</f>
        <v>-67.900000000000006</v>
      </c>
      <c r="M20" s="185"/>
      <c r="N20" s="159">
        <f>SUM(N16:N19)+0.1</f>
        <v>-505.5</v>
      </c>
      <c r="O20" s="174"/>
      <c r="P20" s="176"/>
      <c r="Q20" s="100"/>
      <c r="R20" s="100"/>
      <c r="S20" s="100"/>
      <c r="T20" s="100"/>
      <c r="U20" s="99"/>
      <c r="V20" s="28"/>
      <c r="X20" s="99"/>
      <c r="Y20" s="133"/>
      <c r="Z20" s="18"/>
      <c r="AA20" s="18"/>
    </row>
    <row r="21" spans="1:32" ht="11.45" customHeight="1">
      <c r="A21" s="288" t="s">
        <v>224</v>
      </c>
      <c r="B21" s="288"/>
      <c r="C21" s="185"/>
      <c r="D21" s="285">
        <v>7</v>
      </c>
      <c r="E21" s="185"/>
      <c r="F21" s="369">
        <v>-5.9</v>
      </c>
      <c r="G21" s="159"/>
      <c r="H21" s="158">
        <v>5.9</v>
      </c>
      <c r="I21" s="188"/>
      <c r="J21" s="435">
        <f>-5.1+F21</f>
        <v>-11</v>
      </c>
      <c r="K21" s="185"/>
      <c r="L21" s="421">
        <v>15.4</v>
      </c>
      <c r="M21" s="185"/>
      <c r="N21" s="202">
        <v>22.4</v>
      </c>
      <c r="O21" s="174"/>
      <c r="P21" s="159"/>
      <c r="Q21" s="105"/>
      <c r="R21" s="105"/>
      <c r="S21" s="105"/>
      <c r="T21" s="105"/>
      <c r="U21" s="99"/>
      <c r="V21" s="28"/>
      <c r="X21" s="102"/>
      <c r="Y21" s="133"/>
      <c r="Z21" s="18"/>
      <c r="AA21" s="18"/>
    </row>
    <row r="22" spans="1:32" ht="11.45" customHeight="1" thickBot="1">
      <c r="A22" s="311"/>
      <c r="B22" s="311" t="s">
        <v>182</v>
      </c>
      <c r="C22" s="183"/>
      <c r="D22" s="210"/>
      <c r="E22" s="183"/>
      <c r="F22" s="366">
        <f>+F20-F21</f>
        <v>-51.765999999999984</v>
      </c>
      <c r="G22" s="211"/>
      <c r="H22" s="190">
        <f>+H20-H21</f>
        <v>-63.765000000000015</v>
      </c>
      <c r="I22" s="183"/>
      <c r="J22" s="190">
        <f>+J20-J21-0.1</f>
        <v>-108.68700000000001</v>
      </c>
      <c r="K22" s="183"/>
      <c r="L22" s="190">
        <f>+L20-L21</f>
        <v>-83.300000000000011</v>
      </c>
      <c r="M22" s="183"/>
      <c r="N22" s="190">
        <f>+N20-N21</f>
        <v>-527.9</v>
      </c>
      <c r="O22" s="211"/>
      <c r="P22" s="157"/>
      <c r="Q22" s="88"/>
      <c r="R22" s="395" t="s">
        <v>0</v>
      </c>
      <c r="S22" s="88"/>
      <c r="T22" s="88" t="s">
        <v>0</v>
      </c>
      <c r="U22" s="102"/>
      <c r="V22" s="23"/>
      <c r="W22" s="7"/>
      <c r="X22" s="7"/>
      <c r="AB22" s="38"/>
      <c r="AD22" s="42"/>
    </row>
    <row r="23" spans="1:32" s="3" customFormat="1" ht="11.45" customHeight="1">
      <c r="A23" s="183"/>
      <c r="B23" s="183"/>
      <c r="C23" s="183"/>
      <c r="D23" s="210"/>
      <c r="E23" s="183"/>
      <c r="F23" s="370"/>
      <c r="G23" s="211"/>
      <c r="H23" s="157"/>
      <c r="I23" s="183"/>
      <c r="J23" s="420"/>
      <c r="K23" s="183"/>
      <c r="L23" s="420"/>
      <c r="M23" s="183"/>
      <c r="N23" s="157"/>
      <c r="O23" s="211"/>
      <c r="P23" s="157"/>
      <c r="Q23" s="88"/>
      <c r="R23" s="88"/>
      <c r="S23" s="88"/>
      <c r="T23" s="88"/>
      <c r="U23" s="105"/>
      <c r="V23" s="23"/>
      <c r="AB23" s="39"/>
    </row>
    <row r="24" spans="1:32" ht="11.45" customHeight="1">
      <c r="A24" s="186" t="s">
        <v>121</v>
      </c>
      <c r="B24" s="173"/>
      <c r="C24" s="185"/>
      <c r="D24" s="309"/>
      <c r="E24" s="185"/>
      <c r="F24" s="369"/>
      <c r="G24" s="176"/>
      <c r="H24" s="158"/>
      <c r="I24" s="185"/>
      <c r="J24" s="419"/>
      <c r="K24" s="185"/>
      <c r="L24" s="419"/>
      <c r="M24" s="185"/>
      <c r="N24" s="158"/>
      <c r="O24" s="176"/>
      <c r="P24" s="176"/>
      <c r="Q24" s="99"/>
      <c r="R24" s="99"/>
      <c r="S24" s="99"/>
      <c r="T24" s="99"/>
      <c r="U24" s="99"/>
      <c r="V24" s="113"/>
      <c r="W24" s="7"/>
      <c r="X24" s="7"/>
      <c r="AA24" s="99"/>
      <c r="AB24" s="133"/>
      <c r="AC24" s="18"/>
      <c r="AD24" s="18"/>
    </row>
    <row r="25" spans="1:32" ht="11.45" customHeight="1">
      <c r="A25" s="173"/>
      <c r="B25" s="173" t="s">
        <v>135</v>
      </c>
      <c r="C25" s="185"/>
      <c r="D25" s="309">
        <v>12</v>
      </c>
      <c r="E25" s="185"/>
      <c r="F25" s="368">
        <f>Notes!F228</f>
        <v>-3.9</v>
      </c>
      <c r="G25" s="176"/>
      <c r="H25" s="158">
        <v>1</v>
      </c>
      <c r="I25" s="185"/>
      <c r="J25" s="419">
        <f>Notes!J228</f>
        <v>-9.4</v>
      </c>
      <c r="K25" s="185"/>
      <c r="L25" s="419">
        <v>-2.4</v>
      </c>
      <c r="M25" s="185"/>
      <c r="N25" s="158">
        <v>1.3</v>
      </c>
      <c r="O25" s="176"/>
      <c r="P25" s="176"/>
      <c r="Q25" s="99"/>
      <c r="R25" s="99"/>
      <c r="S25" s="99"/>
      <c r="T25" s="99"/>
      <c r="U25" s="99"/>
      <c r="V25" s="113"/>
      <c r="W25" s="7"/>
      <c r="X25" s="7"/>
      <c r="AA25" s="99"/>
      <c r="AB25" s="133"/>
      <c r="AC25" s="18"/>
      <c r="AD25" s="18"/>
    </row>
    <row r="26" spans="1:32" ht="11.45" customHeight="1">
      <c r="A26" s="173"/>
      <c r="B26" s="173" t="s">
        <v>174</v>
      </c>
      <c r="C26" s="185"/>
      <c r="D26" s="309">
        <v>12</v>
      </c>
      <c r="E26" s="185"/>
      <c r="F26" s="368">
        <f>Notes!F236</f>
        <v>1</v>
      </c>
      <c r="G26" s="176"/>
      <c r="H26" s="158">
        <v>0.3</v>
      </c>
      <c r="I26" s="185"/>
      <c r="J26" s="419">
        <f>Notes!J236</f>
        <v>1.3</v>
      </c>
      <c r="K26" s="185"/>
      <c r="L26" s="419">
        <v>0.7</v>
      </c>
      <c r="M26" s="185"/>
      <c r="N26" s="158">
        <v>-2.4</v>
      </c>
      <c r="O26" s="176"/>
      <c r="P26" s="176"/>
      <c r="Q26" s="99"/>
      <c r="R26" s="99"/>
      <c r="S26" s="99"/>
      <c r="T26" s="99"/>
      <c r="U26" s="99"/>
      <c r="V26" s="113"/>
      <c r="W26" s="7"/>
      <c r="X26" s="7"/>
      <c r="AA26" s="99"/>
      <c r="AB26" s="133"/>
      <c r="AC26" s="18"/>
      <c r="AD26" s="18"/>
    </row>
    <row r="27" spans="1:32" ht="11.45" customHeight="1">
      <c r="A27" s="181" t="s">
        <v>136</v>
      </c>
      <c r="B27" s="182"/>
      <c r="C27" s="185"/>
      <c r="D27" s="309"/>
      <c r="E27" s="185"/>
      <c r="F27" s="367">
        <f>SUM(F25:F26)</f>
        <v>-2.9</v>
      </c>
      <c r="G27" s="176"/>
      <c r="H27" s="184">
        <f>SUM(H25:H26)</f>
        <v>1.3</v>
      </c>
      <c r="I27" s="185"/>
      <c r="J27" s="184">
        <f>SUM(J25:J26)</f>
        <v>-8.1</v>
      </c>
      <c r="K27" s="185"/>
      <c r="L27" s="422">
        <f>SUM(L25:L26)</f>
        <v>-1.7</v>
      </c>
      <c r="M27" s="185"/>
      <c r="N27" s="184">
        <f>SUM(N25:N26)</f>
        <v>-1.0999999999999999</v>
      </c>
      <c r="O27" s="176"/>
      <c r="P27" s="176"/>
      <c r="Q27" s="99"/>
      <c r="R27" s="99"/>
      <c r="S27" s="99"/>
      <c r="T27" s="99"/>
      <c r="U27" s="99"/>
      <c r="V27" s="113"/>
      <c r="W27" s="7"/>
      <c r="X27" s="7"/>
      <c r="AA27" s="99"/>
      <c r="AB27" s="133"/>
      <c r="AC27" s="18"/>
      <c r="AD27" s="18"/>
    </row>
    <row r="28" spans="1:32" ht="11.45" customHeight="1" thickBot="1">
      <c r="A28" s="311" t="s">
        <v>96</v>
      </c>
      <c r="B28" s="311"/>
      <c r="C28" s="183"/>
      <c r="D28" s="210"/>
      <c r="E28" s="183"/>
      <c r="F28" s="366">
        <f>F22+F27</f>
        <v>-54.665999999999983</v>
      </c>
      <c r="G28" s="211"/>
      <c r="H28" s="190">
        <f>H22+H27</f>
        <v>-62.465000000000018</v>
      </c>
      <c r="I28" s="183"/>
      <c r="J28" s="190">
        <f>J22+J27</f>
        <v>-116.78700000000001</v>
      </c>
      <c r="K28" s="183"/>
      <c r="L28" s="190">
        <f>L22+L27</f>
        <v>-85.000000000000014</v>
      </c>
      <c r="M28" s="183"/>
      <c r="N28" s="190">
        <f>N22+N27</f>
        <v>-529</v>
      </c>
      <c r="O28" s="211"/>
      <c r="P28" s="157"/>
      <c r="Q28" s="99"/>
      <c r="R28" s="99"/>
      <c r="S28" s="99"/>
      <c r="T28" s="99"/>
      <c r="U28" s="99"/>
      <c r="V28" s="113"/>
      <c r="W28" s="7"/>
      <c r="X28" s="7"/>
      <c r="AA28" s="99"/>
      <c r="AB28" s="133"/>
      <c r="AC28" s="18"/>
      <c r="AD28" s="18"/>
    </row>
    <row r="29" spans="1:32" s="3" customFormat="1">
      <c r="A29" s="41"/>
      <c r="B29" s="14"/>
      <c r="C29" s="14"/>
      <c r="D29" s="33"/>
      <c r="E29" s="14"/>
      <c r="F29" s="122"/>
      <c r="G29" s="89"/>
      <c r="H29" s="29"/>
      <c r="I29" s="14"/>
      <c r="J29" s="14"/>
      <c r="K29" s="14"/>
      <c r="L29" s="14"/>
      <c r="M29" s="14"/>
      <c r="N29" s="89"/>
      <c r="O29" s="29"/>
      <c r="P29" s="29"/>
      <c r="Q29" s="21"/>
      <c r="R29" s="21"/>
      <c r="S29" s="21"/>
      <c r="T29" s="21"/>
      <c r="U29" s="88"/>
      <c r="V29" s="23"/>
      <c r="AB29" s="39"/>
    </row>
    <row r="30" spans="1:32" s="3" customFormat="1" ht="13.5" customHeight="1">
      <c r="A30" s="41"/>
      <c r="B30" s="14"/>
      <c r="C30" s="14"/>
      <c r="D30" s="33"/>
      <c r="E30" s="14"/>
      <c r="F30" s="122"/>
      <c r="G30" s="89"/>
      <c r="H30" s="29"/>
      <c r="I30" s="14"/>
      <c r="J30" s="14"/>
      <c r="K30" s="14"/>
      <c r="L30" s="14"/>
      <c r="M30" s="14"/>
      <c r="N30" s="89"/>
      <c r="O30" s="29"/>
      <c r="P30" s="29"/>
      <c r="Q30" s="21"/>
      <c r="R30" s="21"/>
      <c r="S30" s="21"/>
      <c r="T30" s="21"/>
      <c r="U30" s="88"/>
      <c r="V30" s="23"/>
      <c r="AB30" s="39"/>
    </row>
    <row r="31" spans="1:32" s="3" customFormat="1">
      <c r="A31" s="14"/>
      <c r="B31" s="14"/>
      <c r="C31" s="16"/>
      <c r="D31" s="33"/>
      <c r="E31" s="16"/>
      <c r="F31" s="15"/>
      <c r="G31" s="15"/>
      <c r="H31" s="15"/>
      <c r="I31" s="16"/>
      <c r="J31" s="16"/>
      <c r="K31" s="16"/>
      <c r="L31" s="16"/>
      <c r="M31" s="16"/>
      <c r="N31" s="15"/>
      <c r="O31" s="15"/>
      <c r="P31" s="15"/>
      <c r="Q31" s="15"/>
      <c r="R31" s="15"/>
      <c r="S31" s="15"/>
      <c r="T31" s="15"/>
      <c r="U31" s="15"/>
      <c r="V31" s="15"/>
    </row>
    <row r="32" spans="1:32" s="3" customFormat="1">
      <c r="A32" s="14"/>
      <c r="B32" s="14"/>
      <c r="C32" s="16"/>
      <c r="D32" s="33"/>
      <c r="E32" s="16"/>
      <c r="F32" s="15"/>
      <c r="G32" s="15"/>
      <c r="H32" s="15"/>
      <c r="I32" s="16"/>
      <c r="J32" s="16"/>
      <c r="K32" s="16"/>
      <c r="L32" s="16"/>
      <c r="M32" s="16"/>
      <c r="N32" s="15"/>
      <c r="O32" s="15"/>
      <c r="P32" s="15"/>
      <c r="Q32" s="15"/>
      <c r="R32" s="15"/>
      <c r="S32" s="15"/>
      <c r="T32" s="15"/>
      <c r="U32" s="15"/>
      <c r="V32" s="15"/>
    </row>
    <row r="33" spans="1:25" s="3" customFormat="1">
      <c r="A33" s="14"/>
      <c r="B33" s="14"/>
      <c r="C33" s="16"/>
      <c r="D33" s="33"/>
      <c r="E33" s="16"/>
      <c r="F33" s="15"/>
      <c r="G33" s="15"/>
      <c r="H33" s="15"/>
      <c r="I33" s="16"/>
      <c r="J33" s="16"/>
      <c r="K33" s="16"/>
      <c r="L33" s="16"/>
      <c r="M33" s="16"/>
      <c r="N33" s="15"/>
      <c r="O33" s="15"/>
      <c r="P33" s="15"/>
      <c r="Q33" s="15"/>
      <c r="R33" s="15"/>
      <c r="S33" s="15"/>
      <c r="T33" s="15"/>
      <c r="U33" s="15"/>
      <c r="V33" s="15"/>
    </row>
    <row r="34" spans="1:25" s="3" customFormat="1">
      <c r="A34" s="14"/>
      <c r="B34" s="14"/>
      <c r="C34" s="16"/>
      <c r="D34" s="33"/>
      <c r="E34" s="16"/>
      <c r="F34" s="15"/>
      <c r="G34" s="15"/>
      <c r="H34" s="15"/>
      <c r="I34" s="16"/>
      <c r="J34" s="16"/>
      <c r="K34" s="16"/>
      <c r="L34" s="16"/>
      <c r="M34" s="16"/>
      <c r="N34" s="15"/>
      <c r="O34" s="15"/>
      <c r="P34" s="15"/>
      <c r="Q34" s="15"/>
      <c r="R34" s="15"/>
      <c r="S34" s="15"/>
      <c r="T34" s="15"/>
      <c r="U34" s="15"/>
      <c r="V34" s="15"/>
    </row>
    <row r="35" spans="1:25" s="3" customFormat="1">
      <c r="A35" s="14"/>
      <c r="B35" s="14"/>
      <c r="C35" s="16"/>
      <c r="D35" s="33"/>
      <c r="E35" s="16"/>
      <c r="F35" s="15"/>
      <c r="G35" s="15"/>
      <c r="H35" s="15"/>
      <c r="I35" s="16"/>
      <c r="J35" s="16"/>
      <c r="K35" s="16"/>
      <c r="L35" s="16"/>
      <c r="M35" s="16"/>
      <c r="N35" s="15"/>
      <c r="O35" s="15"/>
      <c r="P35" s="15"/>
      <c r="Q35" s="15"/>
      <c r="R35" s="15"/>
      <c r="S35" s="15"/>
      <c r="T35" s="15"/>
      <c r="U35" s="15"/>
      <c r="V35" s="15"/>
    </row>
    <row r="36" spans="1:25" s="3" customFormat="1">
      <c r="A36" s="14"/>
      <c r="B36" s="14"/>
      <c r="C36" s="16"/>
      <c r="D36" s="33"/>
      <c r="E36" s="16"/>
      <c r="F36" s="15"/>
      <c r="G36" s="15"/>
      <c r="H36" s="15"/>
      <c r="I36" s="16"/>
      <c r="J36" s="16"/>
      <c r="K36" s="16"/>
      <c r="L36" s="16"/>
      <c r="M36" s="16"/>
      <c r="N36" s="15"/>
      <c r="O36" s="15"/>
      <c r="P36" s="15"/>
      <c r="Q36" s="15"/>
      <c r="R36" s="15"/>
      <c r="S36" s="15"/>
      <c r="T36" s="15"/>
      <c r="U36" s="15"/>
      <c r="V36" s="15"/>
    </row>
    <row r="37" spans="1:25" s="3" customFormat="1">
      <c r="A37" s="14"/>
      <c r="B37" s="5"/>
      <c r="C37" s="16"/>
      <c r="D37" s="33"/>
      <c r="E37" s="16"/>
      <c r="F37" s="15"/>
      <c r="G37" s="15"/>
      <c r="H37" s="15"/>
      <c r="I37" s="16"/>
      <c r="J37" s="16"/>
      <c r="K37" s="16"/>
      <c r="L37" s="16"/>
      <c r="M37" s="16"/>
      <c r="N37" s="15"/>
      <c r="O37" s="15"/>
      <c r="P37" s="15"/>
      <c r="Q37" s="15"/>
      <c r="R37" s="15"/>
      <c r="S37" s="15"/>
      <c r="T37" s="15"/>
      <c r="U37" s="15"/>
      <c r="V37" s="15"/>
    </row>
    <row r="38" spans="1:25" s="3" customFormat="1">
      <c r="A38" s="14"/>
      <c r="B38" s="14"/>
      <c r="C38" s="16"/>
      <c r="D38" s="33"/>
      <c r="E38" s="16"/>
      <c r="F38" s="15"/>
      <c r="G38" s="15"/>
      <c r="H38" s="15"/>
      <c r="I38" s="16"/>
      <c r="J38" s="16"/>
      <c r="K38" s="16"/>
      <c r="L38" s="16"/>
      <c r="M38" s="16"/>
      <c r="N38" s="15"/>
      <c r="O38" s="15"/>
      <c r="P38" s="15"/>
      <c r="Q38" s="15"/>
      <c r="R38" s="15"/>
      <c r="S38" s="15"/>
      <c r="T38" s="15"/>
      <c r="U38" s="15"/>
      <c r="V38" s="15"/>
    </row>
    <row r="39" spans="1:25" s="3" customFormat="1">
      <c r="A39" s="14"/>
      <c r="B39" s="14"/>
      <c r="C39" s="16"/>
      <c r="D39" s="33"/>
      <c r="E39" s="16"/>
      <c r="F39" s="15"/>
      <c r="G39" s="15"/>
      <c r="H39" s="15"/>
      <c r="I39" s="16"/>
      <c r="J39" s="16"/>
      <c r="K39" s="16"/>
      <c r="L39" s="16"/>
      <c r="M39" s="16"/>
      <c r="N39" s="15"/>
      <c r="O39" s="15"/>
      <c r="P39" s="15"/>
      <c r="Q39" s="15"/>
      <c r="R39" s="15"/>
      <c r="S39" s="15"/>
      <c r="T39" s="15"/>
      <c r="U39" s="15"/>
      <c r="V39" s="15"/>
    </row>
    <row r="40" spans="1:25" s="3" customFormat="1">
      <c r="A40" s="14"/>
      <c r="B40" s="14"/>
      <c r="C40" s="16"/>
      <c r="D40" s="33"/>
      <c r="E40" s="16"/>
      <c r="F40" s="15"/>
      <c r="G40" s="15"/>
      <c r="H40" s="15"/>
      <c r="I40" s="16"/>
      <c r="J40" s="16"/>
      <c r="K40" s="16"/>
      <c r="L40" s="16"/>
      <c r="M40" s="16"/>
      <c r="N40" s="15"/>
      <c r="O40" s="15"/>
      <c r="P40" s="15"/>
      <c r="Q40" s="15"/>
      <c r="R40" s="15"/>
      <c r="S40" s="11"/>
      <c r="T40" s="11"/>
      <c r="U40" s="15"/>
      <c r="V40" s="15"/>
    </row>
    <row r="41" spans="1:25" s="3" customFormat="1">
      <c r="A41" s="14"/>
      <c r="B41" s="14"/>
      <c r="C41" s="16"/>
      <c r="D41" s="33"/>
      <c r="E41" s="16"/>
      <c r="F41" s="15"/>
      <c r="G41" s="15"/>
      <c r="H41" s="15"/>
      <c r="I41" s="16"/>
      <c r="J41" s="16"/>
      <c r="K41" s="16"/>
      <c r="L41" s="16"/>
      <c r="M41" s="16"/>
      <c r="N41" s="15"/>
      <c r="O41" s="15"/>
      <c r="P41" s="15"/>
      <c r="Q41" s="15"/>
      <c r="R41" s="15"/>
      <c r="S41" s="11"/>
      <c r="T41" s="11"/>
      <c r="U41" s="15"/>
      <c r="V41" s="15"/>
    </row>
    <row r="42" spans="1:25" s="3" customFormat="1">
      <c r="A42" s="14"/>
      <c r="B42" s="14"/>
      <c r="C42" s="16"/>
      <c r="D42" s="33"/>
      <c r="E42" s="16"/>
      <c r="F42" s="15"/>
      <c r="G42" s="15"/>
      <c r="H42" s="15"/>
      <c r="I42" s="16"/>
      <c r="J42" s="16"/>
      <c r="K42" s="16"/>
      <c r="L42" s="16"/>
      <c r="M42" s="16"/>
      <c r="N42" s="15"/>
      <c r="O42" s="15"/>
      <c r="P42" s="15"/>
      <c r="Q42" s="15"/>
      <c r="R42" s="15"/>
      <c r="S42" s="11"/>
      <c r="T42" s="11"/>
      <c r="U42" s="15"/>
      <c r="V42" s="15"/>
    </row>
    <row r="43" spans="1:25" s="3" customFormat="1">
      <c r="A43" s="14"/>
      <c r="B43" s="14"/>
      <c r="C43" s="16"/>
      <c r="D43" s="33"/>
      <c r="E43" s="16"/>
      <c r="F43" s="15"/>
      <c r="G43" s="15"/>
      <c r="H43" s="15"/>
      <c r="I43" s="16"/>
      <c r="J43" s="16"/>
      <c r="K43" s="16"/>
      <c r="L43" s="16"/>
      <c r="M43" s="16"/>
      <c r="N43" s="15"/>
      <c r="O43" s="15"/>
      <c r="P43" s="15"/>
      <c r="Q43" s="15"/>
      <c r="R43" s="15"/>
      <c r="S43" s="11"/>
      <c r="T43" s="11"/>
      <c r="U43" s="15"/>
      <c r="V43" s="15"/>
    </row>
    <row r="44" spans="1:25" s="3" customFormat="1">
      <c r="A44" s="1"/>
      <c r="B44" s="4"/>
      <c r="C44" s="4"/>
      <c r="D44" s="4"/>
      <c r="E44" s="4"/>
      <c r="F44" s="13"/>
      <c r="G44" s="11"/>
      <c r="H44" s="11"/>
      <c r="I44" s="4"/>
      <c r="J44" s="4"/>
      <c r="K44" s="4"/>
      <c r="L44" s="4"/>
      <c r="M44" s="4"/>
      <c r="N44" s="11"/>
      <c r="O44" s="11"/>
      <c r="P44" s="11"/>
      <c r="Q44" s="11"/>
      <c r="R44" s="11"/>
      <c r="S44" s="11"/>
      <c r="T44" s="11"/>
      <c r="U44" s="11"/>
      <c r="V44" s="15"/>
      <c r="Y44" s="128"/>
    </row>
    <row r="45" spans="1:25">
      <c r="F45" s="13"/>
      <c r="G45" s="11"/>
      <c r="H45" s="11"/>
      <c r="N45" s="11"/>
      <c r="O45" s="11"/>
      <c r="P45" s="11"/>
      <c r="Q45" s="11"/>
      <c r="R45" s="11"/>
      <c r="S45" s="11"/>
      <c r="T45" s="11"/>
      <c r="U45" s="11"/>
      <c r="V45" s="13"/>
      <c r="Y45" s="37"/>
    </row>
    <row r="46" spans="1:25">
      <c r="A46" s="26"/>
      <c r="B46" s="27"/>
      <c r="D46" s="27"/>
      <c r="F46" s="13"/>
      <c r="G46" s="11"/>
      <c r="H46" s="11"/>
      <c r="N46" s="11"/>
      <c r="O46" s="11"/>
      <c r="P46" s="11"/>
      <c r="Q46" s="11"/>
      <c r="R46" s="11"/>
      <c r="S46" s="11"/>
      <c r="T46" s="11"/>
      <c r="U46" s="11"/>
      <c r="V46" s="13"/>
    </row>
    <row r="47" spans="1:25">
      <c r="F47" s="13"/>
      <c r="G47" s="11"/>
      <c r="H47" s="11"/>
      <c r="N47" s="11"/>
      <c r="O47" s="11"/>
      <c r="P47" s="11"/>
      <c r="Q47" s="11"/>
      <c r="R47" s="11"/>
      <c r="S47" s="11"/>
      <c r="T47" s="11"/>
      <c r="U47" s="11"/>
      <c r="V47" s="13"/>
    </row>
    <row r="48" spans="1:25">
      <c r="F48" s="13"/>
      <c r="G48" s="11"/>
      <c r="H48" s="11"/>
      <c r="N48" s="11"/>
      <c r="O48" s="11"/>
      <c r="P48" s="11"/>
      <c r="Q48" s="11"/>
      <c r="R48" s="11"/>
      <c r="S48" s="11"/>
      <c r="T48" s="11"/>
      <c r="U48" s="11"/>
      <c r="V48" s="13"/>
    </row>
    <row r="49" spans="6:22">
      <c r="F49" s="13"/>
      <c r="G49" s="11"/>
      <c r="H49" s="11"/>
      <c r="N49" s="11"/>
      <c r="O49" s="11"/>
      <c r="P49" s="11"/>
      <c r="Q49" s="11"/>
      <c r="R49" s="11"/>
      <c r="S49" s="11"/>
      <c r="T49" s="11"/>
      <c r="U49" s="11"/>
      <c r="V49" s="13"/>
    </row>
    <row r="50" spans="6:22">
      <c r="F50" s="13"/>
      <c r="G50" s="11"/>
      <c r="H50" s="11"/>
      <c r="N50" s="11"/>
      <c r="O50" s="11"/>
      <c r="P50" s="11"/>
      <c r="Q50" s="11"/>
      <c r="R50" s="11"/>
      <c r="S50" s="11"/>
      <c r="T50" s="11"/>
      <c r="U50" s="11"/>
      <c r="V50" s="13"/>
    </row>
    <row r="51" spans="6:22">
      <c r="F51" s="13"/>
      <c r="G51" s="11"/>
      <c r="H51" s="11"/>
      <c r="N51" s="11"/>
      <c r="O51" s="11"/>
      <c r="P51" s="11"/>
      <c r="Q51" s="11"/>
      <c r="R51" s="11"/>
      <c r="S51" s="11"/>
      <c r="T51" s="11"/>
      <c r="U51" s="11"/>
      <c r="V51" s="13"/>
    </row>
    <row r="52" spans="6:22">
      <c r="F52" s="13"/>
      <c r="G52" s="11"/>
      <c r="H52" s="11"/>
      <c r="N52" s="11"/>
      <c r="O52" s="11"/>
      <c r="P52" s="11"/>
      <c r="Q52" s="11"/>
      <c r="R52" s="11"/>
      <c r="S52" s="11"/>
      <c r="T52" s="11"/>
      <c r="U52" s="11"/>
      <c r="V52" s="13"/>
    </row>
    <row r="53" spans="6:22">
      <c r="F53" s="13"/>
      <c r="G53" s="11"/>
      <c r="H53" s="11"/>
      <c r="N53" s="11"/>
      <c r="O53" s="11"/>
      <c r="P53" s="11"/>
      <c r="Q53" s="11"/>
      <c r="R53" s="11"/>
      <c r="S53" s="11"/>
      <c r="T53" s="11"/>
      <c r="U53" s="11"/>
      <c r="V53" s="13"/>
    </row>
    <row r="54" spans="6:22">
      <c r="F54" s="13"/>
      <c r="G54" s="11"/>
      <c r="H54" s="11"/>
      <c r="N54" s="11"/>
      <c r="O54" s="11"/>
      <c r="P54" s="11"/>
      <c r="Q54" s="11"/>
      <c r="R54" s="11"/>
      <c r="S54" s="11"/>
      <c r="T54" s="11"/>
      <c r="U54" s="11"/>
      <c r="V54" s="13"/>
    </row>
    <row r="55" spans="6:22">
      <c r="F55" s="13"/>
      <c r="G55" s="11"/>
      <c r="H55" s="11"/>
      <c r="N55" s="11"/>
      <c r="O55" s="11"/>
      <c r="P55" s="11"/>
      <c r="Q55" s="11"/>
      <c r="R55" s="11"/>
      <c r="S55" s="11"/>
      <c r="T55" s="11"/>
      <c r="U55" s="11"/>
      <c r="V55" s="13"/>
    </row>
    <row r="56" spans="6:22">
      <c r="F56" s="13"/>
      <c r="G56" s="11"/>
      <c r="H56" s="11"/>
      <c r="N56" s="11"/>
      <c r="O56" s="11"/>
      <c r="P56" s="11"/>
      <c r="Q56" s="11"/>
      <c r="R56" s="11"/>
      <c r="S56" s="11"/>
      <c r="T56" s="11"/>
      <c r="U56" s="11"/>
      <c r="V56" s="13"/>
    </row>
    <row r="57" spans="6:22">
      <c r="F57" s="13"/>
      <c r="G57" s="11"/>
      <c r="H57" s="11"/>
      <c r="N57" s="11"/>
      <c r="O57" s="11"/>
      <c r="P57" s="11"/>
      <c r="Q57" s="11"/>
      <c r="R57" s="11"/>
      <c r="S57" s="11"/>
      <c r="T57" s="11"/>
      <c r="U57" s="11"/>
      <c r="V57" s="13"/>
    </row>
    <row r="58" spans="6:22">
      <c r="F58" s="13"/>
      <c r="G58" s="11"/>
      <c r="H58" s="11"/>
      <c r="N58" s="11"/>
      <c r="O58" s="11"/>
      <c r="P58" s="11"/>
      <c r="Q58" s="11"/>
      <c r="R58" s="11"/>
      <c r="S58" s="11"/>
      <c r="T58" s="11"/>
      <c r="U58" s="11"/>
      <c r="V58" s="13"/>
    </row>
    <row r="59" spans="6:22">
      <c r="G59" s="11"/>
      <c r="H59" s="11"/>
      <c r="N59" s="11"/>
      <c r="O59" s="11"/>
      <c r="P59" s="11"/>
      <c r="Q59" s="11"/>
      <c r="R59" s="11"/>
      <c r="S59" s="11"/>
      <c r="T59" s="11"/>
      <c r="U59" s="11"/>
      <c r="V59" s="13"/>
    </row>
    <row r="60" spans="6:22">
      <c r="F60" s="13"/>
      <c r="G60" s="11"/>
      <c r="H60" s="11"/>
      <c r="N60" s="11"/>
      <c r="O60" s="11"/>
      <c r="P60" s="11"/>
      <c r="Q60" s="11"/>
      <c r="R60" s="11"/>
      <c r="S60" s="10"/>
      <c r="T60" s="10"/>
      <c r="U60" s="11"/>
      <c r="V60" s="13"/>
    </row>
    <row r="61" spans="6:22">
      <c r="F61" s="13"/>
      <c r="G61" s="11"/>
      <c r="H61" s="11"/>
      <c r="N61" s="11"/>
      <c r="O61" s="11"/>
      <c r="P61" s="11"/>
      <c r="Q61" s="11"/>
      <c r="R61" s="11"/>
      <c r="S61" s="10"/>
      <c r="T61" s="10"/>
      <c r="U61" s="11"/>
      <c r="V61" s="13"/>
    </row>
    <row r="62" spans="6:22">
      <c r="F62" s="13"/>
      <c r="G62" s="11"/>
      <c r="H62" s="11"/>
      <c r="N62" s="11"/>
      <c r="O62" s="11"/>
      <c r="P62" s="11"/>
      <c r="Q62" s="11"/>
      <c r="R62" s="11"/>
      <c r="U62" s="11"/>
      <c r="V62" s="13"/>
    </row>
    <row r="63" spans="6:22">
      <c r="F63" s="13"/>
      <c r="G63" s="11"/>
      <c r="H63" s="11"/>
      <c r="N63" s="11"/>
      <c r="O63" s="11"/>
      <c r="P63" s="11"/>
      <c r="Q63" s="11"/>
      <c r="R63" s="11"/>
      <c r="U63" s="11"/>
      <c r="V63" s="13"/>
    </row>
    <row r="64" spans="6:22">
      <c r="F64" s="10"/>
      <c r="H64" s="10"/>
      <c r="O64" s="10"/>
      <c r="P64" s="10"/>
      <c r="Q64" s="10"/>
      <c r="R64" s="10"/>
      <c r="U64" s="10"/>
      <c r="V64" s="13"/>
    </row>
    <row r="65" spans="6:21">
      <c r="F65" s="10"/>
      <c r="H65" s="10"/>
      <c r="O65" s="10"/>
      <c r="P65" s="10"/>
      <c r="Q65" s="10"/>
      <c r="R65" s="10"/>
      <c r="U65" s="10"/>
    </row>
  </sheetData>
  <mergeCells count="7">
    <mergeCell ref="A1:P1"/>
    <mergeCell ref="N3:O3"/>
    <mergeCell ref="N4:O4"/>
    <mergeCell ref="F3:H3"/>
    <mergeCell ref="F4:H4"/>
    <mergeCell ref="J3:L3"/>
    <mergeCell ref="J4:L4"/>
  </mergeCells>
  <phoneticPr fontId="0" type="noConversion"/>
  <printOptions horizontalCentered="1"/>
  <pageMargins left="0.51181102362204722" right="0.23622047244094491" top="0.39370078740157483" bottom="0.47244094488188981" header="0.31496062992125984" footer="0.23622047244094491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53"/>
  <sheetViews>
    <sheetView showGridLines="0" zoomScaleNormal="100" workbookViewId="0">
      <selection sqref="A1:M1"/>
    </sheetView>
  </sheetViews>
  <sheetFormatPr defaultColWidth="11.7109375" defaultRowHeight="12.75"/>
  <cols>
    <col min="1" max="1" width="2.5703125" customWidth="1"/>
    <col min="2" max="2" width="2.7109375" customWidth="1"/>
    <col min="3" max="3" width="54" customWidth="1"/>
    <col min="4" max="4" width="1.5703125" customWidth="1"/>
    <col min="5" max="5" width="5.7109375" style="34" customWidth="1"/>
    <col min="6" max="6" width="1.5703125" customWidth="1"/>
    <col min="7" max="7" width="12.28515625" customWidth="1"/>
    <col min="8" max="8" width="1.140625" style="22" customWidth="1"/>
    <col min="9" max="9" width="14.5703125" style="22" customWidth="1"/>
    <col min="10" max="10" width="2.42578125" customWidth="1"/>
    <col min="11" max="11" width="12.140625" style="22" customWidth="1"/>
    <col min="12" max="12" width="10.140625" style="22" customWidth="1"/>
    <col min="13" max="13" width="9.140625" style="22" customWidth="1"/>
    <col min="14" max="14" width="5.85546875" style="93" customWidth="1"/>
    <col min="15" max="15" width="12.28515625" style="93" customWidth="1"/>
    <col min="16" max="16" width="2" style="93" customWidth="1"/>
    <col min="17" max="17" width="4.85546875" style="22" customWidth="1"/>
    <col min="18" max="18" width="1.85546875" style="30" customWidth="1"/>
    <col min="19" max="19" width="2" style="30" customWidth="1"/>
    <col min="20" max="20" width="13.42578125" style="31" customWidth="1"/>
    <col min="21" max="21" width="1.5703125" style="31" customWidth="1"/>
    <col min="22" max="22" width="13.42578125" style="119" customWidth="1"/>
    <col min="23" max="23" width="12.7109375" style="31" customWidth="1"/>
    <col min="24" max="39" width="11.7109375" style="31" customWidth="1"/>
    <col min="40" max="57" width="11.7109375" style="31"/>
  </cols>
  <sheetData>
    <row r="1" spans="1:57" s="1" customFormat="1" ht="18.75">
      <c r="A1" s="524" t="s">
        <v>98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110"/>
      <c r="O1" s="110"/>
      <c r="P1" s="110"/>
      <c r="Q1" s="110"/>
      <c r="R1" s="110"/>
      <c r="S1" s="110"/>
      <c r="T1" s="110"/>
      <c r="U1" s="9"/>
      <c r="V1" s="118"/>
      <c r="W1" s="8"/>
      <c r="X1" s="8"/>
      <c r="Y1" s="8"/>
      <c r="Z1" s="128"/>
      <c r="AA1" s="8"/>
      <c r="AB1" s="8"/>
      <c r="AC1" s="8"/>
    </row>
    <row r="2" spans="1:57" s="1" customFormat="1" ht="11.25" customHeight="1" thickBot="1">
      <c r="A2" s="192"/>
      <c r="B2" s="192"/>
      <c r="C2" s="192"/>
      <c r="D2" s="192"/>
      <c r="E2" s="192"/>
      <c r="F2" s="206"/>
      <c r="G2" s="206"/>
      <c r="H2" s="207"/>
      <c r="I2" s="207"/>
      <c r="J2" s="207"/>
      <c r="K2" s="87"/>
      <c r="L2" s="132"/>
      <c r="M2" s="132"/>
      <c r="N2" s="87"/>
      <c r="O2" s="87"/>
      <c r="P2" s="87"/>
      <c r="Q2" s="20"/>
      <c r="R2" s="120"/>
      <c r="S2" s="8"/>
      <c r="T2" s="8"/>
      <c r="U2" s="8"/>
      <c r="V2" s="128"/>
      <c r="W2" s="8"/>
      <c r="X2" s="8"/>
      <c r="Y2" s="8"/>
    </row>
    <row r="3" spans="1:57" ht="11.45" customHeight="1">
      <c r="A3" s="316"/>
      <c r="B3" s="316"/>
      <c r="C3" s="316"/>
      <c r="D3" s="317"/>
      <c r="E3" s="316"/>
      <c r="F3" s="317"/>
      <c r="G3" s="523" t="s">
        <v>237</v>
      </c>
      <c r="H3" s="523"/>
      <c r="I3" s="523"/>
      <c r="J3" s="401"/>
      <c r="K3" s="400" t="s">
        <v>1</v>
      </c>
      <c r="L3" s="116"/>
      <c r="M3" s="116"/>
      <c r="N3" s="30"/>
      <c r="O3" s="30"/>
      <c r="P3" s="31"/>
      <c r="Q3" s="31"/>
      <c r="R3" s="119"/>
      <c r="S3" s="31"/>
      <c r="V3" s="31"/>
      <c r="BB3"/>
      <c r="BC3"/>
      <c r="BD3"/>
      <c r="BE3"/>
    </row>
    <row r="4" spans="1:57" s="6" customFormat="1" ht="11.45" customHeight="1" thickBot="1">
      <c r="A4" s="318" t="s">
        <v>107</v>
      </c>
      <c r="B4" s="319"/>
      <c r="C4" s="319"/>
      <c r="D4" s="317"/>
      <c r="E4" s="319" t="s">
        <v>39</v>
      </c>
      <c r="F4" s="317"/>
      <c r="G4" s="320">
        <v>2016</v>
      </c>
      <c r="H4" s="316"/>
      <c r="I4" s="320">
        <v>2015</v>
      </c>
      <c r="J4" s="321"/>
      <c r="K4" s="320">
        <v>2015</v>
      </c>
      <c r="L4" s="31"/>
      <c r="M4" s="30"/>
      <c r="N4" s="31"/>
      <c r="O4" s="31"/>
      <c r="P4" s="119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</row>
    <row r="5" spans="1:57" s="31" customFormat="1" ht="11.45" customHeight="1">
      <c r="A5" s="322"/>
      <c r="B5" s="316"/>
      <c r="C5" s="316"/>
      <c r="D5" s="317"/>
      <c r="E5" s="316"/>
      <c r="F5" s="317"/>
      <c r="G5" s="321"/>
      <c r="H5" s="316"/>
      <c r="I5" s="321"/>
      <c r="J5" s="321"/>
      <c r="K5" s="321"/>
      <c r="M5" s="30"/>
      <c r="P5" s="138"/>
    </row>
    <row r="6" spans="1:57" ht="11.45" customHeight="1">
      <c r="A6" s="322" t="s">
        <v>12</v>
      </c>
      <c r="B6" s="323"/>
      <c r="C6" s="323"/>
      <c r="D6" s="324"/>
      <c r="E6" s="323"/>
      <c r="F6" s="324"/>
      <c r="G6" s="325"/>
      <c r="H6" s="326"/>
      <c r="I6" s="326"/>
      <c r="J6" s="325"/>
      <c r="K6" s="325"/>
      <c r="M6" s="30"/>
      <c r="N6" s="31"/>
      <c r="O6" s="31"/>
      <c r="P6" s="119"/>
      <c r="Q6" s="31"/>
      <c r="R6" s="31"/>
      <c r="S6" s="31"/>
      <c r="V6" s="31"/>
      <c r="AZ6"/>
      <c r="BA6"/>
      <c r="BB6"/>
      <c r="BC6"/>
      <c r="BD6"/>
      <c r="BE6"/>
    </row>
    <row r="7" spans="1:57" ht="11.45" customHeight="1">
      <c r="A7" s="327"/>
      <c r="B7" s="327" t="s">
        <v>2</v>
      </c>
      <c r="C7" s="328"/>
      <c r="D7" s="328"/>
      <c r="E7" s="329">
        <v>10</v>
      </c>
      <c r="F7" s="328"/>
      <c r="G7" s="331">
        <v>49.661999999999999</v>
      </c>
      <c r="H7" s="330"/>
      <c r="I7" s="331">
        <v>57.6</v>
      </c>
      <c r="J7" s="330"/>
      <c r="K7" s="330">
        <v>81.567999999999998</v>
      </c>
      <c r="L7" s="93"/>
      <c r="M7" s="93"/>
      <c r="N7" s="30"/>
      <c r="O7" s="30"/>
      <c r="P7" s="31"/>
      <c r="Q7" s="31"/>
      <c r="R7" s="119"/>
      <c r="S7" s="31"/>
      <c r="V7" s="31"/>
      <c r="BB7"/>
      <c r="BC7"/>
      <c r="BD7"/>
      <c r="BE7"/>
    </row>
    <row r="8" spans="1:57" ht="11.45" customHeight="1">
      <c r="A8" s="327"/>
      <c r="B8" s="328" t="s">
        <v>14</v>
      </c>
      <c r="C8" s="328"/>
      <c r="D8" s="328"/>
      <c r="E8" s="329">
        <v>10</v>
      </c>
      <c r="F8" s="328"/>
      <c r="G8" s="331">
        <v>28.416</v>
      </c>
      <c r="H8" s="330"/>
      <c r="I8" s="331">
        <v>19.7</v>
      </c>
      <c r="J8" s="330"/>
      <c r="K8" s="330">
        <v>19.023</v>
      </c>
      <c r="L8" s="93"/>
      <c r="M8" s="93"/>
      <c r="N8" s="30"/>
      <c r="O8" s="30"/>
      <c r="P8" s="31"/>
      <c r="Q8" s="31"/>
      <c r="R8" s="119"/>
      <c r="S8" s="31"/>
      <c r="V8" s="31"/>
      <c r="BB8"/>
      <c r="BC8"/>
      <c r="BD8"/>
      <c r="BE8"/>
    </row>
    <row r="9" spans="1:57" ht="11.45" customHeight="1">
      <c r="A9" s="332"/>
      <c r="B9" s="328" t="s">
        <v>31</v>
      </c>
      <c r="C9" s="328"/>
      <c r="D9" s="328"/>
      <c r="E9" s="316"/>
      <c r="F9" s="328"/>
      <c r="G9" s="331">
        <v>86.451999999999998</v>
      </c>
      <c r="H9" s="330"/>
      <c r="I9" s="331">
        <v>137.9</v>
      </c>
      <c r="J9" s="330"/>
      <c r="K9" s="330">
        <v>112.80500000000001</v>
      </c>
      <c r="L9" s="93"/>
      <c r="M9" s="93"/>
      <c r="N9" s="30"/>
      <c r="O9" s="30"/>
      <c r="P9" s="31"/>
      <c r="Q9" s="31"/>
      <c r="R9" s="119"/>
      <c r="S9" s="31"/>
      <c r="V9" s="31"/>
      <c r="BB9"/>
      <c r="BC9"/>
      <c r="BD9"/>
      <c r="BE9"/>
    </row>
    <row r="10" spans="1:57" ht="11.45" customHeight="1">
      <c r="A10" s="332"/>
      <c r="B10" s="328" t="s">
        <v>32</v>
      </c>
      <c r="C10" s="328"/>
      <c r="D10" s="328"/>
      <c r="E10" s="316"/>
      <c r="F10" s="328"/>
      <c r="G10" s="331">
        <v>134.26400000000001</v>
      </c>
      <c r="H10" s="330"/>
      <c r="I10" s="331">
        <v>148.80000000000001</v>
      </c>
      <c r="J10" s="330"/>
      <c r="K10" s="330">
        <v>158.125</v>
      </c>
      <c r="L10" s="93"/>
      <c r="M10" s="93"/>
      <c r="N10" s="30"/>
      <c r="O10" s="30"/>
      <c r="P10" s="31"/>
      <c r="Q10" s="31"/>
      <c r="R10" s="119"/>
      <c r="S10" s="31"/>
      <c r="V10" s="31"/>
      <c r="BB10"/>
      <c r="BC10"/>
      <c r="BD10"/>
      <c r="BE10"/>
    </row>
    <row r="11" spans="1:57" ht="11.45" customHeight="1">
      <c r="A11" s="332"/>
      <c r="B11" s="332" t="s">
        <v>7</v>
      </c>
      <c r="C11" s="328"/>
      <c r="D11" s="328"/>
      <c r="E11" s="316"/>
      <c r="F11" s="328"/>
      <c r="G11" s="331">
        <f>86.702+3.77-0.1</f>
        <v>90.372</v>
      </c>
      <c r="H11" s="330"/>
      <c r="I11" s="331">
        <v>119</v>
      </c>
      <c r="J11" s="330"/>
      <c r="K11" s="330">
        <f>98.784</f>
        <v>98.784000000000006</v>
      </c>
      <c r="L11" s="93"/>
      <c r="M11" s="93"/>
      <c r="N11" s="30"/>
      <c r="O11" s="30"/>
      <c r="P11" s="31"/>
      <c r="Q11" s="31"/>
      <c r="R11" s="119"/>
      <c r="S11" s="31"/>
      <c r="V11" s="31"/>
      <c r="BB11"/>
      <c r="BC11"/>
      <c r="BD11"/>
      <c r="BE11"/>
    </row>
    <row r="12" spans="1:57" ht="11.45" customHeight="1">
      <c r="A12" s="333" t="s">
        <v>18</v>
      </c>
      <c r="B12" s="333"/>
      <c r="C12" s="334"/>
      <c r="D12" s="317"/>
      <c r="E12" s="316"/>
      <c r="F12" s="317"/>
      <c r="G12" s="335">
        <f>SUM(G7:G11)</f>
        <v>389.166</v>
      </c>
      <c r="H12" s="331"/>
      <c r="I12" s="335">
        <f>SUM(I7:I11)</f>
        <v>483</v>
      </c>
      <c r="J12" s="331"/>
      <c r="K12" s="335">
        <f>SUM(K7:K11)</f>
        <v>470.30500000000001</v>
      </c>
      <c r="L12" s="93"/>
      <c r="M12" s="93"/>
      <c r="N12" s="30"/>
      <c r="O12" s="30"/>
      <c r="P12" s="31"/>
      <c r="Q12" s="31"/>
      <c r="R12" s="119"/>
      <c r="S12" s="31"/>
      <c r="V12" s="31"/>
      <c r="BB12"/>
      <c r="BC12"/>
      <c r="BD12"/>
      <c r="BE12"/>
    </row>
    <row r="13" spans="1:57" ht="11.45" customHeight="1">
      <c r="A13" s="332"/>
      <c r="B13" s="327" t="s">
        <v>33</v>
      </c>
      <c r="C13" s="328"/>
      <c r="D13" s="328"/>
      <c r="E13" s="316">
        <v>8</v>
      </c>
      <c r="F13" s="328"/>
      <c r="G13" s="331">
        <v>1454.1690000000001</v>
      </c>
      <c r="H13" s="330"/>
      <c r="I13" s="331">
        <v>1508.9</v>
      </c>
      <c r="J13" s="330"/>
      <c r="K13" s="330">
        <v>1397.4829999999999</v>
      </c>
      <c r="L13" s="93"/>
      <c r="M13" s="93"/>
      <c r="N13" s="30"/>
      <c r="O13" s="116"/>
      <c r="P13" s="90"/>
      <c r="Q13" s="90"/>
      <c r="R13" s="119"/>
      <c r="S13" s="90"/>
      <c r="T13" s="90"/>
      <c r="V13" s="31"/>
      <c r="BB13"/>
      <c r="BC13"/>
      <c r="BD13"/>
      <c r="BE13"/>
    </row>
    <row r="14" spans="1:57" ht="11.45" customHeight="1">
      <c r="A14" s="332"/>
      <c r="B14" s="327" t="s">
        <v>44</v>
      </c>
      <c r="C14" s="328"/>
      <c r="D14" s="328"/>
      <c r="E14" s="316">
        <v>9</v>
      </c>
      <c r="F14" s="328"/>
      <c r="G14" s="331">
        <v>686.07399999999996</v>
      </c>
      <c r="H14" s="330"/>
      <c r="I14" s="331">
        <v>749.9</v>
      </c>
      <c r="J14" s="330"/>
      <c r="K14" s="330">
        <v>695.03899999999999</v>
      </c>
      <c r="L14" s="93"/>
      <c r="M14" s="93"/>
      <c r="N14" s="124"/>
      <c r="O14" s="124"/>
      <c r="P14" s="125"/>
      <c r="Q14" s="31"/>
      <c r="R14" s="119"/>
      <c r="S14" s="31"/>
      <c r="V14" s="31"/>
      <c r="BB14"/>
      <c r="BC14"/>
      <c r="BD14"/>
      <c r="BE14"/>
    </row>
    <row r="15" spans="1:57" ht="11.45" customHeight="1">
      <c r="A15" s="332"/>
      <c r="B15" s="327" t="s">
        <v>14</v>
      </c>
      <c r="C15" s="328"/>
      <c r="D15" s="328"/>
      <c r="E15" s="329">
        <v>10</v>
      </c>
      <c r="F15" s="328"/>
      <c r="G15" s="331">
        <v>66.575000000000003</v>
      </c>
      <c r="H15" s="330"/>
      <c r="I15" s="331">
        <v>63.2</v>
      </c>
      <c r="J15" s="330"/>
      <c r="K15" s="330">
        <v>52.533999999999999</v>
      </c>
      <c r="L15" s="93"/>
      <c r="M15" s="93"/>
      <c r="N15" s="30"/>
      <c r="O15" s="30"/>
      <c r="P15" s="31"/>
      <c r="Q15" s="31"/>
      <c r="R15" s="119"/>
      <c r="S15" s="31"/>
      <c r="V15" s="31"/>
      <c r="BB15"/>
      <c r="BC15"/>
      <c r="BD15"/>
      <c r="BE15"/>
    </row>
    <row r="16" spans="1:57" ht="11.45" customHeight="1">
      <c r="A16" s="332"/>
      <c r="B16" s="327" t="s">
        <v>28</v>
      </c>
      <c r="C16" s="328"/>
      <c r="D16" s="328"/>
      <c r="E16" s="316"/>
      <c r="F16" s="328"/>
      <c r="G16" s="331">
        <v>96.159000000000006</v>
      </c>
      <c r="H16" s="330"/>
      <c r="I16" s="331">
        <v>97.4</v>
      </c>
      <c r="J16" s="330"/>
      <c r="K16" s="330">
        <f>83.213-3.838614</f>
        <v>79.374385999999987</v>
      </c>
      <c r="L16" s="93"/>
      <c r="M16" s="93"/>
      <c r="N16" s="30"/>
      <c r="O16" s="30"/>
      <c r="P16" s="31"/>
      <c r="Q16" s="31"/>
      <c r="R16" s="119"/>
      <c r="S16" s="31"/>
      <c r="V16" s="31"/>
      <c r="BB16"/>
      <c r="BC16"/>
      <c r="BD16"/>
      <c r="BE16"/>
    </row>
    <row r="17" spans="1:57" ht="11.45" customHeight="1">
      <c r="A17" s="332"/>
      <c r="B17" s="327" t="s">
        <v>97</v>
      </c>
      <c r="C17" s="328"/>
      <c r="D17" s="328"/>
      <c r="E17" s="316"/>
      <c r="F17" s="328"/>
      <c r="G17" s="331">
        <v>118.372</v>
      </c>
      <c r="H17" s="330"/>
      <c r="I17" s="331">
        <v>64.3</v>
      </c>
      <c r="J17" s="330"/>
      <c r="K17" s="330">
        <v>57.728999999999999</v>
      </c>
      <c r="L17" s="93"/>
      <c r="M17" s="93"/>
      <c r="N17" s="30"/>
      <c r="O17" s="30"/>
      <c r="P17" s="31"/>
      <c r="Q17" s="31"/>
      <c r="R17" s="119"/>
      <c r="S17" s="31"/>
      <c r="V17" s="31"/>
      <c r="BB17"/>
      <c r="BC17"/>
      <c r="BD17"/>
      <c r="BE17"/>
    </row>
    <row r="18" spans="1:57" ht="11.45" customHeight="1">
      <c r="A18" s="332"/>
      <c r="B18" s="327" t="s">
        <v>26</v>
      </c>
      <c r="C18" s="328"/>
      <c r="D18" s="328"/>
      <c r="E18" s="316"/>
      <c r="F18" s="328"/>
      <c r="G18" s="331">
        <v>0</v>
      </c>
      <c r="H18" s="330"/>
      <c r="I18" s="331">
        <v>139.9</v>
      </c>
      <c r="J18" s="330"/>
      <c r="K18" s="330">
        <v>0</v>
      </c>
      <c r="L18" s="93"/>
      <c r="M18" s="93"/>
      <c r="N18" s="30"/>
      <c r="O18" s="30"/>
      <c r="P18" s="31"/>
      <c r="Q18" s="31"/>
      <c r="R18" s="119"/>
      <c r="S18" s="31"/>
      <c r="V18" s="31"/>
      <c r="BB18"/>
      <c r="BC18"/>
      <c r="BD18"/>
      <c r="BE18"/>
    </row>
    <row r="19" spans="1:57" ht="11.45" customHeight="1">
      <c r="A19" s="336"/>
      <c r="B19" s="336" t="s">
        <v>34</v>
      </c>
      <c r="C19" s="337"/>
      <c r="D19" s="328"/>
      <c r="E19" s="316"/>
      <c r="F19" s="328"/>
      <c r="G19" s="331">
        <v>159.82</v>
      </c>
      <c r="H19" s="330"/>
      <c r="I19" s="331">
        <v>190.8</v>
      </c>
      <c r="J19" s="331"/>
      <c r="K19" s="338">
        <v>161.62299999999999</v>
      </c>
      <c r="L19" s="93"/>
      <c r="M19" s="93"/>
      <c r="N19" s="30"/>
      <c r="O19" s="30"/>
      <c r="P19" s="31"/>
      <c r="Q19" s="31"/>
      <c r="R19" s="119"/>
      <c r="S19" s="31"/>
      <c r="V19" s="31"/>
      <c r="BB19"/>
      <c r="BC19"/>
      <c r="BD19"/>
      <c r="BE19"/>
    </row>
    <row r="20" spans="1:57" ht="11.45" customHeight="1">
      <c r="A20" s="334" t="s">
        <v>120</v>
      </c>
      <c r="B20" s="336"/>
      <c r="C20" s="339"/>
      <c r="D20" s="328"/>
      <c r="E20" s="316"/>
      <c r="F20" s="328"/>
      <c r="G20" s="335">
        <f>SUM(G13:G19)</f>
        <v>2581.1689999999999</v>
      </c>
      <c r="H20" s="330"/>
      <c r="I20" s="335">
        <f>SUM(I13:I19)</f>
        <v>2814.4000000000005</v>
      </c>
      <c r="J20" s="331"/>
      <c r="K20" s="330">
        <f>SUM(K13:K19)</f>
        <v>2443.7823859999999</v>
      </c>
      <c r="L20" s="93"/>
      <c r="M20" s="93"/>
      <c r="N20" s="30"/>
      <c r="O20" s="30"/>
      <c r="P20" s="31"/>
      <c r="Q20" s="31"/>
      <c r="R20" s="119"/>
      <c r="S20" s="31"/>
      <c r="V20" s="31"/>
      <c r="BB20"/>
      <c r="BC20"/>
      <c r="BD20"/>
      <c r="BE20"/>
    </row>
    <row r="21" spans="1:57" s="217" customFormat="1" ht="11.45" customHeight="1" thickBot="1">
      <c r="A21" s="340"/>
      <c r="B21" s="340" t="s">
        <v>8</v>
      </c>
      <c r="C21" s="341"/>
      <c r="D21" s="342"/>
      <c r="E21" s="323"/>
      <c r="F21" s="342"/>
      <c r="G21" s="343">
        <f>G12+G20</f>
        <v>2970.335</v>
      </c>
      <c r="H21" s="344"/>
      <c r="I21" s="343">
        <f>I12+I20</f>
        <v>3297.4000000000005</v>
      </c>
      <c r="J21" s="344"/>
      <c r="K21" s="343">
        <f>K12+K20</f>
        <v>2914.0873859999997</v>
      </c>
      <c r="L21" s="218"/>
      <c r="M21" s="218"/>
      <c r="N21" s="214"/>
      <c r="O21" s="214"/>
      <c r="P21" s="215"/>
      <c r="Q21" s="215"/>
      <c r="R21" s="216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</row>
    <row r="22" spans="1:57" ht="11.45" customHeight="1">
      <c r="A22" s="332"/>
      <c r="B22" s="327"/>
      <c r="C22" s="328"/>
      <c r="D22" s="328"/>
      <c r="E22" s="316"/>
      <c r="F22" s="328"/>
      <c r="G22" s="345"/>
      <c r="H22" s="330"/>
      <c r="I22" s="331"/>
      <c r="J22" s="330"/>
      <c r="K22" s="330"/>
      <c r="L22" s="93"/>
      <c r="M22" s="93"/>
      <c r="N22" s="30"/>
      <c r="O22" s="30"/>
      <c r="P22" s="31"/>
      <c r="Q22" s="31"/>
      <c r="R22" s="119"/>
      <c r="S22" s="31"/>
      <c r="V22" s="31"/>
      <c r="BB22"/>
      <c r="BC22"/>
      <c r="BD22"/>
      <c r="BE22"/>
    </row>
    <row r="23" spans="1:57" ht="11.45" customHeight="1">
      <c r="A23" s="328" t="s">
        <v>9</v>
      </c>
      <c r="B23" s="328"/>
      <c r="C23" s="328"/>
      <c r="D23" s="328"/>
      <c r="E23" s="346"/>
      <c r="F23" s="328"/>
      <c r="G23" s="330"/>
      <c r="H23" s="330"/>
      <c r="I23" s="331"/>
      <c r="J23" s="330"/>
      <c r="K23" s="330"/>
      <c r="L23" s="93"/>
      <c r="M23" s="93"/>
      <c r="N23" s="30"/>
      <c r="O23" s="30"/>
      <c r="P23" s="31"/>
      <c r="Q23" s="31"/>
      <c r="R23" s="119"/>
      <c r="S23" s="31"/>
      <c r="V23" s="31"/>
      <c r="BB23"/>
      <c r="BC23"/>
      <c r="BD23"/>
      <c r="BE23"/>
    </row>
    <row r="24" spans="1:57" ht="11.45" customHeight="1">
      <c r="A24" s="328"/>
      <c r="B24" s="328" t="s">
        <v>15</v>
      </c>
      <c r="C24" s="328"/>
      <c r="D24" s="328"/>
      <c r="E24" s="347">
        <v>10</v>
      </c>
      <c r="F24" s="328"/>
      <c r="G24" s="330">
        <f>37.746</f>
        <v>37.746000000000002</v>
      </c>
      <c r="H24" s="348"/>
      <c r="I24" s="349">
        <v>24.8</v>
      </c>
      <c r="J24" s="330"/>
      <c r="K24" s="330">
        <v>24.847999999999999</v>
      </c>
      <c r="L24" s="93"/>
      <c r="M24" s="93"/>
      <c r="N24" s="30"/>
      <c r="O24" s="30"/>
      <c r="P24" s="136"/>
      <c r="Q24" s="31"/>
      <c r="R24" s="119"/>
      <c r="S24" s="31"/>
      <c r="V24" s="31"/>
      <c r="BB24"/>
      <c r="BC24"/>
      <c r="BD24"/>
      <c r="BE24"/>
    </row>
    <row r="25" spans="1:57" ht="11.45" customHeight="1">
      <c r="A25" s="328"/>
      <c r="B25" s="328" t="s">
        <v>11</v>
      </c>
      <c r="C25" s="328"/>
      <c r="D25" s="328"/>
      <c r="E25" s="346"/>
      <c r="F25" s="328"/>
      <c r="G25" s="330">
        <f>52.217+0.1</f>
        <v>52.317</v>
      </c>
      <c r="H25" s="330"/>
      <c r="I25" s="331">
        <v>66</v>
      </c>
      <c r="J25" s="330"/>
      <c r="K25" s="330">
        <v>52.555</v>
      </c>
      <c r="L25" s="93"/>
      <c r="M25" s="93"/>
      <c r="N25" s="30"/>
      <c r="O25" s="30"/>
      <c r="P25" s="31"/>
      <c r="Q25" s="31"/>
      <c r="R25" s="119"/>
      <c r="S25" s="31"/>
      <c r="V25" s="31"/>
      <c r="BB25"/>
      <c r="BC25"/>
      <c r="BD25"/>
      <c r="BE25"/>
    </row>
    <row r="26" spans="1:57" ht="11.45" customHeight="1">
      <c r="A26" s="328"/>
      <c r="B26" s="328" t="s">
        <v>131</v>
      </c>
      <c r="C26" s="328"/>
      <c r="D26" s="328"/>
      <c r="E26" s="346"/>
      <c r="F26" s="328"/>
      <c r="G26" s="330">
        <v>158.01</v>
      </c>
      <c r="H26" s="330"/>
      <c r="I26" s="331">
        <v>194.7</v>
      </c>
      <c r="J26" s="330"/>
      <c r="K26" s="330">
        <v>196.53100000000001</v>
      </c>
      <c r="L26" s="93"/>
      <c r="M26" s="93"/>
      <c r="N26" s="30"/>
      <c r="O26" s="30"/>
      <c r="P26" s="31"/>
      <c r="Q26" s="31"/>
      <c r="R26" s="119"/>
      <c r="S26" s="31"/>
      <c r="V26" s="31"/>
      <c r="BB26"/>
      <c r="BC26"/>
      <c r="BD26"/>
      <c r="BE26"/>
    </row>
    <row r="27" spans="1:57" ht="11.45" customHeight="1">
      <c r="A27" s="317"/>
      <c r="B27" s="317" t="s">
        <v>3</v>
      </c>
      <c r="C27" s="317"/>
      <c r="D27" s="317"/>
      <c r="E27" s="316"/>
      <c r="F27" s="317"/>
      <c r="G27" s="331">
        <v>21.78</v>
      </c>
      <c r="H27" s="331"/>
      <c r="I27" s="331">
        <v>34.200000000000003</v>
      </c>
      <c r="J27" s="331"/>
      <c r="K27" s="331">
        <v>24.423999999999999</v>
      </c>
      <c r="L27" s="93"/>
      <c r="M27" s="93"/>
      <c r="N27" s="30"/>
      <c r="O27" s="30"/>
      <c r="P27" s="31"/>
      <c r="Q27" s="31"/>
      <c r="R27" s="119"/>
      <c r="S27" s="31"/>
      <c r="V27" s="31"/>
      <c r="BB27"/>
      <c r="BC27"/>
      <c r="BD27"/>
      <c r="BE27"/>
    </row>
    <row r="28" spans="1:57" ht="11.45" customHeight="1">
      <c r="A28" s="334"/>
      <c r="B28" s="334" t="s">
        <v>16</v>
      </c>
      <c r="C28" s="334"/>
      <c r="D28" s="328"/>
      <c r="E28" s="316"/>
      <c r="F28" s="328"/>
      <c r="G28" s="335">
        <f>SUM(G24:G27)</f>
        <v>269.85299999999995</v>
      </c>
      <c r="H28" s="330"/>
      <c r="I28" s="335">
        <f>SUM(I24:I27)</f>
        <v>319.7</v>
      </c>
      <c r="J28" s="331"/>
      <c r="K28" s="335">
        <f>SUM(K24:K27)</f>
        <v>298.35799999999995</v>
      </c>
      <c r="L28" s="93"/>
      <c r="M28" s="93"/>
      <c r="N28" s="30"/>
      <c r="O28" s="30"/>
      <c r="P28" s="31"/>
      <c r="Q28" s="31"/>
      <c r="R28" s="119"/>
      <c r="S28" s="31"/>
      <c r="V28" s="31"/>
      <c r="BB28"/>
      <c r="BC28"/>
      <c r="BD28"/>
      <c r="BE28"/>
    </row>
    <row r="29" spans="1:57" ht="11.45" customHeight="1">
      <c r="A29" s="328"/>
      <c r="B29" s="328" t="s">
        <v>10</v>
      </c>
      <c r="C29" s="328"/>
      <c r="D29" s="328"/>
      <c r="E29" s="329">
        <v>10</v>
      </c>
      <c r="F29" s="328"/>
      <c r="G29" s="330">
        <v>1290.569</v>
      </c>
      <c r="H29" s="330"/>
      <c r="I29" s="331">
        <v>1099.5999999999999</v>
      </c>
      <c r="J29" s="330"/>
      <c r="K29" s="330">
        <v>1099.9179999999999</v>
      </c>
      <c r="L29" s="93"/>
      <c r="M29" s="93"/>
      <c r="N29" s="30"/>
      <c r="O29" s="30"/>
      <c r="P29" s="90" t="s">
        <v>0</v>
      </c>
      <c r="Q29" s="31"/>
      <c r="R29" s="119"/>
      <c r="S29" s="31"/>
      <c r="V29" s="31"/>
      <c r="BB29"/>
      <c r="BC29"/>
      <c r="BD29"/>
      <c r="BE29"/>
    </row>
    <row r="30" spans="1:57" ht="11.45" customHeight="1">
      <c r="A30" s="328"/>
      <c r="B30" s="332" t="s">
        <v>27</v>
      </c>
      <c r="C30" s="332"/>
      <c r="D30" s="328"/>
      <c r="E30" s="321"/>
      <c r="F30" s="328"/>
      <c r="G30" s="330">
        <v>0</v>
      </c>
      <c r="H30" s="330"/>
      <c r="I30" s="331">
        <v>16.100000000000001</v>
      </c>
      <c r="J30" s="330"/>
      <c r="K30" s="330">
        <v>1.6040000000000001</v>
      </c>
      <c r="L30" s="93"/>
      <c r="M30" s="93"/>
      <c r="N30" s="30"/>
      <c r="O30" s="30"/>
      <c r="P30" s="31"/>
      <c r="Q30" s="31"/>
      <c r="R30" s="119"/>
      <c r="S30" s="31"/>
      <c r="V30" s="31"/>
      <c r="BB30"/>
      <c r="BC30"/>
      <c r="BD30"/>
      <c r="BE30"/>
    </row>
    <row r="31" spans="1:57" ht="11.45" customHeight="1">
      <c r="A31" s="328"/>
      <c r="B31" s="328" t="s">
        <v>4</v>
      </c>
      <c r="C31" s="328"/>
      <c r="D31" s="328"/>
      <c r="E31" s="316"/>
      <c r="F31" s="328"/>
      <c r="G31" s="330">
        <v>59.576999999999998</v>
      </c>
      <c r="H31" s="330">
        <v>2</v>
      </c>
      <c r="I31" s="331">
        <v>62.2</v>
      </c>
      <c r="J31" s="330"/>
      <c r="K31" s="330">
        <v>50.451999999999998</v>
      </c>
      <c r="L31" s="93"/>
      <c r="M31" s="93"/>
      <c r="N31" s="30"/>
      <c r="O31" s="30"/>
      <c r="P31" s="31"/>
      <c r="Q31" s="31"/>
      <c r="R31" s="119"/>
      <c r="S31" s="31"/>
      <c r="V31" s="31"/>
      <c r="BB31"/>
      <c r="BC31"/>
      <c r="BD31"/>
      <c r="BE31"/>
    </row>
    <row r="32" spans="1:57" ht="11.45" customHeight="1">
      <c r="A32" s="334"/>
      <c r="B32" s="334" t="s">
        <v>25</v>
      </c>
      <c r="C32" s="334"/>
      <c r="D32" s="328"/>
      <c r="E32" s="316"/>
      <c r="F32" s="328"/>
      <c r="G32" s="335">
        <f>SUM(G29:G31)</f>
        <v>1350.146</v>
      </c>
      <c r="H32" s="331"/>
      <c r="I32" s="335">
        <f>SUM(I29:I31)-0.1</f>
        <v>1177.8</v>
      </c>
      <c r="J32" s="331"/>
      <c r="K32" s="335">
        <f>SUM(K29:K31)</f>
        <v>1151.9739999999999</v>
      </c>
      <c r="L32" s="93"/>
      <c r="M32" s="93"/>
      <c r="N32" s="30"/>
      <c r="O32" s="30"/>
      <c r="P32" s="31"/>
      <c r="Q32" s="31"/>
      <c r="R32" s="119"/>
      <c r="S32" s="31"/>
      <c r="V32" s="31"/>
      <c r="BB32"/>
      <c r="BC32"/>
      <c r="BD32"/>
      <c r="BE32"/>
    </row>
    <row r="33" spans="1:57" ht="11.45" customHeight="1">
      <c r="A33" s="350"/>
      <c r="B33" s="317" t="s">
        <v>37</v>
      </c>
      <c r="C33" s="317"/>
      <c r="D33" s="328"/>
      <c r="E33" s="316"/>
      <c r="F33" s="328"/>
      <c r="G33" s="331"/>
      <c r="H33" s="331"/>
      <c r="I33" s="331"/>
      <c r="J33" s="330"/>
      <c r="K33" s="330"/>
      <c r="L33" s="93"/>
      <c r="M33" s="93"/>
      <c r="N33" s="30"/>
      <c r="O33" s="30"/>
      <c r="P33" s="31"/>
      <c r="Q33" s="31"/>
      <c r="R33" s="119"/>
      <c r="S33" s="31"/>
      <c r="V33" s="31"/>
      <c r="BB33"/>
      <c r="BC33"/>
      <c r="BD33"/>
      <c r="BE33"/>
    </row>
    <row r="34" spans="1:57" ht="11.45" customHeight="1">
      <c r="A34" s="317"/>
      <c r="B34" s="317" t="s">
        <v>204</v>
      </c>
      <c r="C34" s="327"/>
      <c r="D34" s="328"/>
      <c r="E34" s="321"/>
      <c r="F34" s="328"/>
      <c r="G34" s="331">
        <f>Equity!D23</f>
        <v>104</v>
      </c>
      <c r="H34" s="331"/>
      <c r="I34" s="331">
        <v>96.5</v>
      </c>
      <c r="J34" s="330"/>
      <c r="K34" s="330">
        <v>104</v>
      </c>
      <c r="L34" s="93"/>
      <c r="M34" s="93"/>
      <c r="N34" s="30"/>
      <c r="O34" s="30"/>
      <c r="P34" s="31"/>
      <c r="Q34" s="31"/>
      <c r="R34" s="119"/>
      <c r="S34" s="31"/>
      <c r="V34" s="31"/>
      <c r="BB34"/>
      <c r="BC34"/>
      <c r="BD34"/>
      <c r="BE34"/>
    </row>
    <row r="35" spans="1:57" ht="11.45" customHeight="1">
      <c r="A35" s="327"/>
      <c r="B35" s="327" t="s">
        <v>38</v>
      </c>
      <c r="C35" s="327"/>
      <c r="D35" s="332"/>
      <c r="E35" s="321"/>
      <c r="F35" s="332"/>
      <c r="G35" s="331">
        <f>Equity!F23</f>
        <v>-0.90000000000000013</v>
      </c>
      <c r="H35" s="331"/>
      <c r="I35" s="331">
        <v>-1.7</v>
      </c>
      <c r="J35" s="330"/>
      <c r="K35" s="330">
        <v>-1.1000000000000001</v>
      </c>
      <c r="L35" s="93"/>
      <c r="M35" s="93"/>
      <c r="N35" s="30"/>
      <c r="O35" s="30"/>
      <c r="P35" s="31"/>
      <c r="Q35" s="31"/>
      <c r="R35" s="119"/>
      <c r="S35" s="31"/>
      <c r="V35" s="31"/>
      <c r="BB35"/>
      <c r="BC35"/>
      <c r="BD35"/>
      <c r="BE35"/>
    </row>
    <row r="36" spans="1:57" ht="11.45" customHeight="1">
      <c r="A36" s="336"/>
      <c r="B36" s="336" t="s">
        <v>23</v>
      </c>
      <c r="C36" s="336"/>
      <c r="D36" s="332"/>
      <c r="E36" s="321"/>
      <c r="F36" s="332"/>
      <c r="G36" s="338">
        <f>Equity!H23</f>
        <v>626.19999999999993</v>
      </c>
      <c r="H36" s="330"/>
      <c r="I36" s="338">
        <v>530.5</v>
      </c>
      <c r="J36" s="331"/>
      <c r="K36" s="338">
        <v>622.79999999999995</v>
      </c>
      <c r="L36" s="93"/>
      <c r="M36" s="93"/>
      <c r="N36" s="30"/>
      <c r="O36" s="30"/>
      <c r="P36" s="31"/>
      <c r="Q36" s="31"/>
      <c r="R36" s="119"/>
      <c r="S36" s="31"/>
      <c r="V36" s="31"/>
      <c r="BB36"/>
      <c r="BC36"/>
      <c r="BD36"/>
      <c r="BE36"/>
    </row>
    <row r="37" spans="1:57" ht="11.45" customHeight="1">
      <c r="A37" s="327" t="s">
        <v>0</v>
      </c>
      <c r="B37" s="327" t="s">
        <v>35</v>
      </c>
      <c r="C37" s="327"/>
      <c r="D37" s="332"/>
      <c r="E37" s="321"/>
      <c r="F37" s="332"/>
      <c r="G37" s="331">
        <f>SUM(G34:G36)</f>
        <v>729.3</v>
      </c>
      <c r="H37" s="330"/>
      <c r="I37" s="331">
        <f>SUM(I34:I36)</f>
        <v>625.29999999999995</v>
      </c>
      <c r="J37" s="330"/>
      <c r="K37" s="330">
        <f>SUM(K34:K36)</f>
        <v>725.69999999999993</v>
      </c>
      <c r="L37" s="93"/>
      <c r="M37" s="93"/>
      <c r="N37" s="30"/>
      <c r="O37" s="30"/>
      <c r="P37" s="31"/>
      <c r="Q37" s="31"/>
      <c r="R37" s="119"/>
      <c r="S37" s="31"/>
      <c r="V37" s="31"/>
      <c r="BB37"/>
      <c r="BC37"/>
      <c r="BD37"/>
      <c r="BE37"/>
    </row>
    <row r="38" spans="1:57" ht="11.45" customHeight="1">
      <c r="A38" s="327"/>
      <c r="B38" s="327" t="s">
        <v>24</v>
      </c>
      <c r="C38" s="327"/>
      <c r="D38" s="332"/>
      <c r="E38" s="321"/>
      <c r="F38" s="332"/>
      <c r="G38" s="331">
        <f>Equity!J23</f>
        <v>691.01299999999992</v>
      </c>
      <c r="H38" s="331"/>
      <c r="I38" s="331">
        <v>1237</v>
      </c>
      <c r="J38" s="330"/>
      <c r="K38" s="330">
        <v>799.9</v>
      </c>
      <c r="L38" s="93"/>
      <c r="M38" s="93"/>
      <c r="N38" s="30"/>
      <c r="O38" s="30"/>
      <c r="P38" s="31"/>
      <c r="Q38" s="31"/>
      <c r="R38" s="119"/>
      <c r="S38" s="31"/>
      <c r="V38" s="31"/>
      <c r="BB38"/>
      <c r="BC38"/>
      <c r="BD38"/>
      <c r="BE38"/>
    </row>
    <row r="39" spans="1:57" ht="11.45" customHeight="1">
      <c r="A39" s="327"/>
      <c r="B39" s="327" t="s">
        <v>121</v>
      </c>
      <c r="C39" s="327"/>
      <c r="D39" s="332"/>
      <c r="E39" s="321"/>
      <c r="F39" s="332"/>
      <c r="G39" s="331">
        <f>Equity!L23</f>
        <v>-70</v>
      </c>
      <c r="H39" s="331"/>
      <c r="I39" s="331">
        <v>-62.5</v>
      </c>
      <c r="J39" s="330"/>
      <c r="K39" s="330">
        <v>-61.9</v>
      </c>
      <c r="L39" s="93"/>
      <c r="M39" s="93"/>
      <c r="N39" s="30"/>
      <c r="O39" s="30"/>
      <c r="P39" s="31"/>
      <c r="Q39" s="31"/>
      <c r="R39" s="119"/>
      <c r="S39" s="31"/>
      <c r="V39" s="31"/>
      <c r="BB39"/>
      <c r="BC39"/>
      <c r="BD39"/>
      <c r="BE39"/>
    </row>
    <row r="40" spans="1:57" ht="11.45" customHeight="1">
      <c r="A40" s="334" t="s">
        <v>19</v>
      </c>
      <c r="B40" s="334"/>
      <c r="C40" s="334"/>
      <c r="D40" s="328"/>
      <c r="E40" s="329"/>
      <c r="F40" s="328"/>
      <c r="G40" s="335">
        <f>SUM(G37:G39)</f>
        <v>1350.3129999999999</v>
      </c>
      <c r="H40" s="331"/>
      <c r="I40" s="335">
        <f>SUM(I37:I39)+0.1</f>
        <v>1799.8999999999999</v>
      </c>
      <c r="J40" s="331"/>
      <c r="K40" s="335">
        <f>SUM(K37:K39)</f>
        <v>1463.6999999999998</v>
      </c>
      <c r="M40" s="30"/>
      <c r="N40" s="31"/>
      <c r="O40" s="31"/>
      <c r="P40" s="120"/>
      <c r="Q40" s="31"/>
      <c r="R40" s="31"/>
      <c r="S40" s="31"/>
      <c r="V40" s="31"/>
      <c r="AZ40"/>
      <c r="BA40"/>
      <c r="BB40"/>
      <c r="BC40"/>
      <c r="BD40"/>
      <c r="BE40"/>
    </row>
    <row r="41" spans="1:57" s="217" customFormat="1" ht="11.45" customHeight="1" thickBot="1">
      <c r="A41" s="341"/>
      <c r="B41" s="341" t="s">
        <v>20</v>
      </c>
      <c r="C41" s="341"/>
      <c r="D41" s="342"/>
      <c r="E41" s="323"/>
      <c r="F41" s="342"/>
      <c r="G41" s="343">
        <f>G32+G40+G28</f>
        <v>2970.3119999999999</v>
      </c>
      <c r="H41" s="344"/>
      <c r="I41" s="343">
        <f>I32+I40+I28</f>
        <v>3297.3999999999996</v>
      </c>
      <c r="J41" s="344"/>
      <c r="K41" s="343">
        <f>K32+K40+K28+0.1</f>
        <v>2914.1320000000001</v>
      </c>
      <c r="L41" s="213"/>
      <c r="M41" s="214"/>
      <c r="N41" s="215"/>
      <c r="O41" s="215"/>
      <c r="P41" s="216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</row>
    <row r="42" spans="1:57">
      <c r="A42" s="86"/>
      <c r="B42" s="1"/>
      <c r="C42" s="25"/>
      <c r="D42" s="25"/>
      <c r="E42" s="35"/>
      <c r="F42" s="25"/>
      <c r="G42" s="104"/>
      <c r="H42" s="24"/>
      <c r="J42" s="25"/>
      <c r="K42" s="24"/>
      <c r="M42" s="91"/>
      <c r="N42" s="91"/>
      <c r="O42" s="36"/>
      <c r="P42" s="30"/>
      <c r="Q42" s="30"/>
      <c r="R42" s="31"/>
      <c r="S42" s="31"/>
      <c r="T42" s="119"/>
      <c r="V42" s="31"/>
      <c r="BD42"/>
      <c r="BE42"/>
    </row>
    <row r="43" spans="1:57">
      <c r="A43" s="1"/>
      <c r="B43" s="1"/>
      <c r="C43" s="1"/>
      <c r="D43" s="1"/>
      <c r="E43" s="4"/>
      <c r="F43" s="1"/>
      <c r="G43" s="117"/>
      <c r="H43" s="17"/>
      <c r="I43" s="17"/>
      <c r="J43" s="1"/>
      <c r="K43" s="17"/>
      <c r="L43" s="17"/>
      <c r="M43" s="37"/>
      <c r="N43" s="37"/>
      <c r="O43" s="7"/>
      <c r="P43" s="30"/>
      <c r="Q43" s="30"/>
      <c r="R43" s="31"/>
      <c r="S43" s="31"/>
      <c r="T43" s="119"/>
      <c r="V43" s="31"/>
      <c r="BD43"/>
      <c r="BE43"/>
    </row>
    <row r="44" spans="1:57">
      <c r="A44" s="1"/>
      <c r="B44" s="1"/>
      <c r="C44" s="1"/>
      <c r="D44" s="1"/>
      <c r="E44" s="4"/>
      <c r="F44" s="1"/>
      <c r="G44" s="131"/>
      <c r="H44" s="17"/>
      <c r="I44" s="17"/>
      <c r="J44" s="1"/>
      <c r="K44" s="17"/>
      <c r="L44" s="17"/>
      <c r="M44" s="17"/>
      <c r="N44" s="37"/>
      <c r="O44" s="37"/>
      <c r="P44" s="37"/>
      <c r="Q44" s="7"/>
    </row>
    <row r="45" spans="1:57">
      <c r="A45" s="1"/>
      <c r="B45" s="1"/>
      <c r="C45" s="1"/>
      <c r="D45" s="1"/>
      <c r="E45" s="4"/>
      <c r="F45" s="1"/>
      <c r="G45" s="1"/>
      <c r="H45" s="17"/>
      <c r="I45" s="17"/>
      <c r="J45" s="1"/>
      <c r="K45" s="17"/>
      <c r="L45" s="17"/>
      <c r="M45" s="17"/>
      <c r="N45" s="37"/>
      <c r="O45" s="37"/>
      <c r="P45" s="37"/>
      <c r="Q45" s="7"/>
    </row>
    <row r="46" spans="1:57">
      <c r="A46" s="1"/>
      <c r="B46" s="1"/>
      <c r="C46" s="1"/>
      <c r="D46" s="1"/>
      <c r="E46" s="4"/>
      <c r="F46" s="1"/>
      <c r="G46" s="1"/>
      <c r="H46" s="17"/>
      <c r="I46" s="17"/>
      <c r="J46" s="1"/>
      <c r="K46" s="17"/>
      <c r="L46" s="17"/>
      <c r="M46" s="17"/>
      <c r="N46" s="37"/>
      <c r="O46" s="37"/>
      <c r="P46" s="37"/>
      <c r="Q46" s="7"/>
    </row>
    <row r="47" spans="1:57">
      <c r="A47" s="1"/>
      <c r="B47" s="1"/>
      <c r="C47" s="1"/>
      <c r="D47" s="1"/>
      <c r="E47" s="4"/>
      <c r="F47" s="1"/>
      <c r="G47" s="1"/>
      <c r="H47" s="17"/>
      <c r="I47" s="17"/>
      <c r="J47" s="1"/>
      <c r="K47" s="17"/>
      <c r="L47" s="17"/>
      <c r="M47" s="17"/>
      <c r="N47" s="37"/>
      <c r="O47" s="37"/>
      <c r="P47" s="37"/>
      <c r="Q47" s="7"/>
    </row>
    <row r="48" spans="1:57">
      <c r="A48" s="1"/>
      <c r="B48" s="1"/>
      <c r="C48" s="1"/>
      <c r="D48" s="1"/>
      <c r="E48" s="4"/>
      <c r="F48" s="1"/>
      <c r="G48" s="1"/>
      <c r="H48" s="17"/>
      <c r="I48" s="17"/>
      <c r="J48" s="1"/>
      <c r="K48" s="17"/>
      <c r="L48" s="17"/>
      <c r="M48" s="17"/>
      <c r="N48" s="37"/>
      <c r="O48" s="37"/>
      <c r="P48" s="37"/>
      <c r="Q48" s="1"/>
    </row>
    <row r="49" spans="1:19">
      <c r="A49" s="1"/>
      <c r="B49" s="1"/>
      <c r="C49" s="1"/>
      <c r="D49" s="1"/>
      <c r="E49" s="4"/>
      <c r="F49" s="1"/>
      <c r="G49" s="1"/>
      <c r="H49" s="17"/>
      <c r="I49" s="17"/>
      <c r="J49" s="1"/>
      <c r="K49" s="17"/>
      <c r="L49" s="17"/>
      <c r="M49" s="17"/>
      <c r="N49" s="92"/>
      <c r="O49" s="92"/>
      <c r="P49" s="92"/>
      <c r="Q49" s="17"/>
      <c r="R49" s="18"/>
      <c r="S49" s="18"/>
    </row>
    <row r="50" spans="1:19">
      <c r="A50" s="1"/>
      <c r="B50" s="1"/>
      <c r="C50" s="1"/>
      <c r="D50" s="1"/>
      <c r="E50" s="4"/>
      <c r="F50" s="1"/>
      <c r="G50" s="1"/>
      <c r="H50" s="17"/>
      <c r="I50" s="17"/>
      <c r="J50" s="1"/>
      <c r="K50" s="17"/>
      <c r="L50" s="17"/>
      <c r="M50" s="17"/>
      <c r="N50" s="92"/>
      <c r="O50" s="92"/>
      <c r="P50" s="92"/>
      <c r="Q50" s="17"/>
      <c r="R50" s="18"/>
      <c r="S50" s="18"/>
    </row>
    <row r="51" spans="1:19">
      <c r="A51" s="1"/>
      <c r="B51" s="1"/>
      <c r="C51" s="1"/>
      <c r="D51" s="1"/>
      <c r="E51" s="4"/>
      <c r="F51" s="1"/>
      <c r="G51" s="1"/>
      <c r="H51" s="17"/>
      <c r="I51" s="17"/>
      <c r="J51" s="1"/>
      <c r="K51" s="17"/>
      <c r="L51" s="17"/>
      <c r="M51" s="17"/>
      <c r="N51" s="92"/>
      <c r="O51" s="92"/>
      <c r="P51" s="92"/>
      <c r="Q51" s="17"/>
      <c r="R51" s="18"/>
      <c r="S51" s="18"/>
    </row>
    <row r="52" spans="1:19">
      <c r="A52" s="1"/>
      <c r="B52" s="1"/>
      <c r="C52" s="1"/>
      <c r="D52" s="1"/>
      <c r="E52" s="4"/>
      <c r="F52" s="1"/>
      <c r="G52" s="1"/>
      <c r="H52" s="17"/>
      <c r="I52" s="17"/>
      <c r="J52" s="1"/>
      <c r="K52" s="17"/>
      <c r="L52" s="17"/>
      <c r="M52" s="17"/>
      <c r="N52" s="92"/>
      <c r="O52" s="92"/>
      <c r="P52" s="92"/>
      <c r="Q52" s="17"/>
      <c r="R52" s="18"/>
      <c r="S52" s="18"/>
    </row>
    <row r="53" spans="1:19">
      <c r="A53" s="1"/>
      <c r="B53" s="1"/>
      <c r="C53" s="1"/>
      <c r="D53" s="1"/>
      <c r="E53" s="4"/>
      <c r="F53" s="1"/>
      <c r="G53" s="1"/>
      <c r="H53" s="17"/>
      <c r="I53" s="17"/>
      <c r="J53" s="1"/>
      <c r="K53" s="17"/>
      <c r="L53" s="17"/>
      <c r="M53" s="17"/>
      <c r="N53" s="92"/>
      <c r="O53" s="92"/>
      <c r="P53" s="92"/>
      <c r="Q53" s="17"/>
      <c r="R53" s="18"/>
      <c r="S53" s="18"/>
    </row>
  </sheetData>
  <mergeCells count="2">
    <mergeCell ref="G3:I3"/>
    <mergeCell ref="A1:M1"/>
  </mergeCells>
  <phoneticPr fontId="0" type="noConversion"/>
  <printOptions horizontalCentered="1" verticalCentered="1"/>
  <pageMargins left="0.51181102362204722" right="0" top="0.39370078740157483" bottom="0" header="0.31496062992125984" footer="0.23622047244094491"/>
  <pageSetup paperSize="9" scale="89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69"/>
  <sheetViews>
    <sheetView showGridLines="0" zoomScaleNormal="100" workbookViewId="0">
      <selection sqref="A1:P1"/>
    </sheetView>
  </sheetViews>
  <sheetFormatPr defaultColWidth="9.140625" defaultRowHeight="12.75"/>
  <cols>
    <col min="1" max="1" width="2.140625" style="45" customWidth="1"/>
    <col min="2" max="2" width="0.7109375" style="45" customWidth="1"/>
    <col min="3" max="3" width="1.28515625" style="45" customWidth="1"/>
    <col min="4" max="4" width="62.28515625" style="45" customWidth="1"/>
    <col min="5" max="5" width="1.7109375" style="45" customWidth="1"/>
    <col min="6" max="6" width="12.28515625" style="45" customWidth="1"/>
    <col min="7" max="7" width="1.140625" style="45" customWidth="1"/>
    <col min="8" max="8" width="12.28515625" style="45" customWidth="1"/>
    <col min="9" max="9" width="1.7109375" style="45" customWidth="1"/>
    <col min="10" max="10" width="10.85546875" style="45" customWidth="1"/>
    <col min="11" max="11" width="2.5703125" style="45" customWidth="1"/>
    <col min="12" max="12" width="9.42578125" style="45" customWidth="1"/>
    <col min="13" max="13" width="3.28515625" style="45" customWidth="1"/>
    <col min="14" max="14" width="14.42578125" style="45" customWidth="1"/>
    <col min="15" max="15" width="3.85546875" style="45" customWidth="1"/>
    <col min="16" max="16" width="2.85546875" style="45" hidden="1" customWidth="1"/>
    <col min="17" max="17" width="2.7109375" style="45" customWidth="1"/>
    <col min="18" max="18" width="12.28515625" style="45" customWidth="1"/>
    <col min="19" max="19" width="1.140625" style="45" customWidth="1"/>
    <col min="20" max="16384" width="9.140625" style="45"/>
  </cols>
  <sheetData>
    <row r="1" spans="1:24" s="1" customFormat="1" ht="18.75">
      <c r="A1" s="520" t="s">
        <v>102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110"/>
      <c r="R1" s="110"/>
      <c r="S1" s="110"/>
      <c r="T1" s="8"/>
      <c r="U1" s="128"/>
      <c r="V1" s="8"/>
      <c r="W1" s="8"/>
      <c r="X1" s="8"/>
    </row>
    <row r="2" spans="1:24" s="1" customFormat="1" ht="11.25" customHeight="1" thickBot="1">
      <c r="A2" s="192"/>
      <c r="B2" s="192"/>
      <c r="C2" s="192"/>
      <c r="D2" s="192"/>
      <c r="E2" s="192"/>
      <c r="F2" s="206"/>
      <c r="G2" s="206"/>
      <c r="H2" s="207"/>
      <c r="I2" s="192"/>
      <c r="J2" s="192"/>
      <c r="K2" s="192"/>
      <c r="L2" s="192"/>
      <c r="M2" s="192"/>
      <c r="N2" s="206"/>
      <c r="O2" s="207"/>
      <c r="P2" s="207"/>
      <c r="Q2" s="87"/>
      <c r="R2" s="87"/>
      <c r="S2" s="132"/>
      <c r="T2" s="8"/>
      <c r="U2" s="128"/>
      <c r="V2" s="8"/>
      <c r="W2" s="8"/>
      <c r="X2" s="8"/>
    </row>
    <row r="3" spans="1:24" s="43" customFormat="1" ht="11.45" customHeight="1">
      <c r="A3" s="150"/>
      <c r="B3" s="150"/>
      <c r="C3" s="150"/>
      <c r="D3" s="150"/>
      <c r="E3" s="150"/>
      <c r="F3" s="521" t="s">
        <v>6</v>
      </c>
      <c r="G3" s="521"/>
      <c r="H3" s="521"/>
      <c r="I3" s="150"/>
      <c r="J3" s="521" t="s">
        <v>238</v>
      </c>
      <c r="K3" s="521"/>
      <c r="L3" s="521"/>
      <c r="M3" s="407"/>
      <c r="N3" s="521" t="s">
        <v>21</v>
      </c>
      <c r="O3" s="521"/>
      <c r="P3" s="162"/>
      <c r="Q3" s="47"/>
      <c r="R3" s="47"/>
      <c r="S3" s="46"/>
    </row>
    <row r="4" spans="1:24" ht="11.45" customHeight="1">
      <c r="A4" s="150"/>
      <c r="B4" s="150"/>
      <c r="C4" s="150"/>
      <c r="D4" s="163"/>
      <c r="E4" s="163"/>
      <c r="F4" s="522" t="s">
        <v>237</v>
      </c>
      <c r="G4" s="522"/>
      <c r="H4" s="522"/>
      <c r="I4" s="163"/>
      <c r="J4" s="522" t="s">
        <v>237</v>
      </c>
      <c r="K4" s="522"/>
      <c r="L4" s="522"/>
      <c r="M4" s="519"/>
      <c r="N4" s="522" t="s">
        <v>211</v>
      </c>
      <c r="O4" s="522"/>
      <c r="P4" s="164"/>
      <c r="Q4" s="137"/>
      <c r="R4" s="137"/>
      <c r="S4" s="46"/>
    </row>
    <row r="5" spans="1:24" ht="11.45" customHeight="1" thickBot="1">
      <c r="A5" s="165" t="s">
        <v>107</v>
      </c>
      <c r="B5" s="161"/>
      <c r="C5" s="161"/>
      <c r="D5" s="166"/>
      <c r="E5" s="163"/>
      <c r="F5" s="167">
        <v>2016</v>
      </c>
      <c r="G5" s="161"/>
      <c r="H5" s="167">
        <v>2015</v>
      </c>
      <c r="I5" s="163"/>
      <c r="J5" s="167">
        <v>2016</v>
      </c>
      <c r="K5" s="161"/>
      <c r="L5" s="167">
        <v>2015</v>
      </c>
      <c r="M5" s="147"/>
      <c r="N5" s="167">
        <v>2015</v>
      </c>
      <c r="O5" s="161"/>
      <c r="P5" s="167"/>
      <c r="Q5" s="96"/>
      <c r="R5" s="96"/>
      <c r="S5" s="46"/>
    </row>
    <row r="6" spans="1:24" ht="11.45" customHeight="1">
      <c r="A6" s="168"/>
      <c r="B6" s="168"/>
      <c r="C6" s="168"/>
      <c r="D6" s="168"/>
      <c r="E6" s="168"/>
      <c r="F6" s="169" t="s">
        <v>0</v>
      </c>
      <c r="G6" s="169"/>
      <c r="H6" s="169"/>
      <c r="I6" s="168"/>
      <c r="J6" s="168"/>
      <c r="K6" s="168"/>
      <c r="L6" s="168"/>
      <c r="M6" s="168"/>
      <c r="N6" s="169"/>
      <c r="O6" s="169"/>
      <c r="P6" s="169"/>
      <c r="Q6" s="95"/>
      <c r="R6" s="95"/>
      <c r="S6" s="95"/>
    </row>
    <row r="7" spans="1:24" ht="11.45" customHeight="1">
      <c r="A7" s="170"/>
      <c r="B7" s="171" t="s">
        <v>182</v>
      </c>
      <c r="C7" s="172"/>
      <c r="D7" s="172"/>
      <c r="E7" s="173"/>
      <c r="F7" s="157">
        <f>'IS &amp; OCI'!F22</f>
        <v>-51.765999999999984</v>
      </c>
      <c r="G7" s="211"/>
      <c r="H7" s="157">
        <f>'IS &amp; OCI'!H22</f>
        <v>-63.765000000000015</v>
      </c>
      <c r="I7" s="173"/>
      <c r="J7" s="430">
        <f>'IS &amp; OCI'!J22</f>
        <v>-108.68700000000001</v>
      </c>
      <c r="K7" s="173"/>
      <c r="L7" s="157">
        <v>-83.3</v>
      </c>
      <c r="M7" s="173"/>
      <c r="N7" s="157">
        <v>-527.9</v>
      </c>
      <c r="O7" s="211"/>
      <c r="P7" s="157"/>
      <c r="Q7" s="99"/>
      <c r="R7" s="99"/>
      <c r="S7" s="106"/>
    </row>
    <row r="8" spans="1:24" ht="11.45" customHeight="1">
      <c r="A8" s="170"/>
      <c r="B8" s="168"/>
      <c r="C8" s="172" t="s">
        <v>199</v>
      </c>
      <c r="D8" s="175"/>
      <c r="E8" s="173"/>
      <c r="F8" s="360">
        <v>109.4</v>
      </c>
      <c r="G8" s="176"/>
      <c r="H8" s="158">
        <v>166</v>
      </c>
      <c r="I8" s="173"/>
      <c r="J8" s="425">
        <f>108.8+F8</f>
        <v>218.2</v>
      </c>
      <c r="K8" s="173"/>
      <c r="L8" s="425">
        <v>280</v>
      </c>
      <c r="M8" s="173"/>
      <c r="N8" s="158">
        <v>865.8</v>
      </c>
      <c r="O8" s="176"/>
      <c r="P8" s="158"/>
      <c r="Q8" s="97"/>
      <c r="R8" s="97"/>
      <c r="S8" s="103"/>
    </row>
    <row r="9" spans="1:24" ht="11.45" customHeight="1">
      <c r="A9" s="168"/>
      <c r="B9" s="168"/>
      <c r="C9" s="177" t="s">
        <v>225</v>
      </c>
      <c r="D9" s="175"/>
      <c r="E9" s="178"/>
      <c r="F9" s="360">
        <f>-'IS &amp; OCI'!F17</f>
        <v>0.98599999999999999</v>
      </c>
      <c r="G9" s="176"/>
      <c r="H9" s="158">
        <v>2.4</v>
      </c>
      <c r="I9" s="178"/>
      <c r="J9" s="426">
        <f>25.322+F9</f>
        <v>26.308</v>
      </c>
      <c r="K9" s="178"/>
      <c r="L9" s="426">
        <v>10</v>
      </c>
      <c r="M9" s="178"/>
      <c r="N9" s="158">
        <v>16.100000000000001</v>
      </c>
      <c r="O9" s="176"/>
      <c r="P9" s="158"/>
      <c r="Q9" s="97"/>
      <c r="R9" s="97"/>
      <c r="S9" s="103"/>
    </row>
    <row r="10" spans="1:24" ht="11.45" customHeight="1">
      <c r="A10" s="168"/>
      <c r="B10" s="168"/>
      <c r="C10" s="172" t="s">
        <v>13</v>
      </c>
      <c r="D10" s="175"/>
      <c r="E10" s="168"/>
      <c r="F10" s="360">
        <f>-'IS &amp; OCI'!F18</f>
        <v>11.040999999999999</v>
      </c>
      <c r="G10" s="176"/>
      <c r="H10" s="158">
        <v>7.4</v>
      </c>
      <c r="I10" s="168"/>
      <c r="J10" s="415">
        <f>6.8+F10</f>
        <v>17.840999999999998</v>
      </c>
      <c r="K10" s="168"/>
      <c r="L10" s="415">
        <v>15.2</v>
      </c>
      <c r="M10" s="168"/>
      <c r="N10" s="158">
        <v>29.5</v>
      </c>
      <c r="O10" s="176"/>
      <c r="P10" s="158"/>
      <c r="Q10" s="97"/>
      <c r="R10" s="97"/>
      <c r="S10" s="103"/>
    </row>
    <row r="11" spans="1:24" ht="11.45" customHeight="1">
      <c r="A11" s="170"/>
      <c r="B11" s="168"/>
      <c r="C11" s="172" t="s">
        <v>198</v>
      </c>
      <c r="D11" s="175"/>
      <c r="E11" s="178"/>
      <c r="F11" s="360">
        <v>0.8</v>
      </c>
      <c r="G11" s="176"/>
      <c r="H11" s="158">
        <v>-3.7</v>
      </c>
      <c r="I11" s="178"/>
      <c r="J11" s="426">
        <f>1+F11</f>
        <v>1.8</v>
      </c>
      <c r="K11" s="178"/>
      <c r="L11" s="426">
        <v>-2.7</v>
      </c>
      <c r="M11" s="178"/>
      <c r="N11" s="158">
        <v>0.3</v>
      </c>
      <c r="O11" s="176"/>
      <c r="P11" s="158"/>
      <c r="Q11" s="97"/>
      <c r="R11" s="97"/>
      <c r="S11" s="103"/>
    </row>
    <row r="12" spans="1:24" ht="11.45" customHeight="1">
      <c r="A12" s="170"/>
      <c r="B12" s="168"/>
      <c r="C12" s="175" t="s">
        <v>90</v>
      </c>
      <c r="D12" s="175"/>
      <c r="E12" s="178"/>
      <c r="F12" s="360">
        <v>-2.8</v>
      </c>
      <c r="G12" s="176"/>
      <c r="H12" s="158">
        <v>-4.8</v>
      </c>
      <c r="I12" s="178"/>
      <c r="J12" s="426">
        <f>-1.5+F12</f>
        <v>-4.3</v>
      </c>
      <c r="K12" s="178"/>
      <c r="L12" s="426">
        <v>-16.399999999999999</v>
      </c>
      <c r="M12" s="178"/>
      <c r="N12" s="158">
        <v>-25.2</v>
      </c>
      <c r="O12" s="176"/>
      <c r="P12" s="158"/>
      <c r="Q12" s="97"/>
      <c r="R12" s="97"/>
      <c r="S12" s="103"/>
    </row>
    <row r="13" spans="1:24" ht="11.45" customHeight="1">
      <c r="A13" s="170"/>
      <c r="B13" s="168"/>
      <c r="C13" s="172" t="s">
        <v>89</v>
      </c>
      <c r="D13" s="175"/>
      <c r="E13" s="178"/>
      <c r="F13" s="360">
        <v>1.8</v>
      </c>
      <c r="G13" s="176"/>
      <c r="H13" s="158">
        <v>5</v>
      </c>
      <c r="I13" s="178"/>
      <c r="J13" s="426">
        <f>4.3+F13</f>
        <v>6.1</v>
      </c>
      <c r="K13" s="178"/>
      <c r="L13" s="426">
        <v>7.7</v>
      </c>
      <c r="M13" s="178"/>
      <c r="N13" s="158">
        <v>14.5</v>
      </c>
      <c r="O13" s="176"/>
      <c r="P13" s="158"/>
      <c r="Q13" s="97"/>
      <c r="R13" s="97"/>
      <c r="S13" s="103"/>
    </row>
    <row r="14" spans="1:24" ht="11.45" customHeight="1">
      <c r="A14" s="170"/>
      <c r="B14" s="168"/>
      <c r="C14" s="172" t="s">
        <v>99</v>
      </c>
      <c r="D14" s="175"/>
      <c r="E14" s="179"/>
      <c r="F14" s="360">
        <v>-5.9</v>
      </c>
      <c r="G14" s="176"/>
      <c r="H14" s="158">
        <v>9</v>
      </c>
      <c r="I14" s="179"/>
      <c r="J14" s="427">
        <f>56.1+F14</f>
        <v>50.2</v>
      </c>
      <c r="K14" s="179"/>
      <c r="L14" s="427">
        <v>156.30000000000001</v>
      </c>
      <c r="M14" s="179"/>
      <c r="N14" s="158">
        <v>172.1</v>
      </c>
      <c r="O14" s="176"/>
      <c r="P14" s="158"/>
      <c r="Q14" s="97"/>
      <c r="R14" s="97"/>
      <c r="S14" s="97"/>
    </row>
    <row r="15" spans="1:24" ht="11.45" customHeight="1">
      <c r="A15" s="170"/>
      <c r="B15" s="168"/>
      <c r="C15" s="172" t="s">
        <v>88</v>
      </c>
      <c r="D15" s="175"/>
      <c r="E15" s="178"/>
      <c r="F15" s="360">
        <v>14.7</v>
      </c>
      <c r="G15" s="176"/>
      <c r="H15" s="158">
        <v>23.6</v>
      </c>
      <c r="I15" s="178"/>
      <c r="J15" s="426">
        <f>-1.3+F15</f>
        <v>13.399999999999999</v>
      </c>
      <c r="K15" s="178"/>
      <c r="L15" s="426">
        <v>-9</v>
      </c>
      <c r="M15" s="178"/>
      <c r="N15" s="158">
        <v>-33.9</v>
      </c>
      <c r="O15" s="176"/>
      <c r="P15" s="158"/>
      <c r="Q15" s="97"/>
      <c r="R15" s="97"/>
      <c r="S15" s="103"/>
    </row>
    <row r="16" spans="1:24" ht="11.45" customHeight="1">
      <c r="A16" s="170"/>
      <c r="B16" s="168"/>
      <c r="C16" s="172" t="s">
        <v>132</v>
      </c>
      <c r="D16" s="175"/>
      <c r="E16" s="178"/>
      <c r="F16" s="360">
        <v>-27.5</v>
      </c>
      <c r="G16" s="176"/>
      <c r="H16" s="158">
        <v>-61.6</v>
      </c>
      <c r="I16" s="178"/>
      <c r="J16" s="426">
        <f>0.1+F16</f>
        <v>-27.4</v>
      </c>
      <c r="K16" s="178"/>
      <c r="L16" s="426">
        <v>-43.5</v>
      </c>
      <c r="M16" s="178"/>
      <c r="N16" s="158">
        <v>0.4</v>
      </c>
      <c r="O16" s="176"/>
      <c r="P16" s="158"/>
      <c r="Q16" s="97"/>
      <c r="R16" s="97"/>
      <c r="S16" s="97"/>
    </row>
    <row r="17" spans="1:19" ht="11.45" customHeight="1">
      <c r="A17" s="170"/>
      <c r="B17" s="168"/>
      <c r="C17" s="172" t="s">
        <v>104</v>
      </c>
      <c r="D17" s="175"/>
      <c r="E17" s="178"/>
      <c r="F17" s="360">
        <v>-8.5</v>
      </c>
      <c r="G17" s="176"/>
      <c r="H17" s="158">
        <v>3.6</v>
      </c>
      <c r="I17" s="178"/>
      <c r="J17" s="426">
        <f>-9.2+F17</f>
        <v>-17.7</v>
      </c>
      <c r="K17" s="178"/>
      <c r="L17" s="426">
        <v>-18.899999999999999</v>
      </c>
      <c r="M17" s="178"/>
      <c r="N17" s="158">
        <v>-23.6</v>
      </c>
      <c r="O17" s="176"/>
      <c r="P17" s="158"/>
      <c r="Q17" s="97"/>
      <c r="R17" s="97"/>
      <c r="S17" s="103"/>
    </row>
    <row r="18" spans="1:19" ht="11.45" customHeight="1">
      <c r="A18" s="180"/>
      <c r="B18" s="181" t="s">
        <v>175</v>
      </c>
      <c r="C18" s="181"/>
      <c r="D18" s="182"/>
      <c r="E18" s="183"/>
      <c r="F18" s="364">
        <f>SUM(F7:F17)+0.1</f>
        <v>42.361000000000011</v>
      </c>
      <c r="G18" s="211"/>
      <c r="H18" s="160">
        <f>SUM(H7:H17)</f>
        <v>83.134999999999991</v>
      </c>
      <c r="I18" s="183"/>
      <c r="J18" s="160">
        <f>SUM(J7:J17)</f>
        <v>175.762</v>
      </c>
      <c r="K18" s="183"/>
      <c r="L18" s="160">
        <f>SUM(L7:L17)</f>
        <v>295.39999999999998</v>
      </c>
      <c r="M18" s="183"/>
      <c r="N18" s="160">
        <f>SUM(N7:N17)-0.2</f>
        <v>487.90000000000003</v>
      </c>
      <c r="O18" s="211"/>
      <c r="P18" s="157"/>
      <c r="Q18" s="99"/>
      <c r="R18" s="99"/>
      <c r="S18" s="100"/>
    </row>
    <row r="19" spans="1:19" ht="11.45" customHeight="1">
      <c r="A19" s="170"/>
      <c r="B19" s="173" t="s">
        <v>87</v>
      </c>
      <c r="C19" s="173"/>
      <c r="D19" s="173"/>
      <c r="E19" s="185"/>
      <c r="F19" s="360">
        <v>-41.8</v>
      </c>
      <c r="G19" s="174"/>
      <c r="H19" s="158">
        <v>-73.599999999999994</v>
      </c>
      <c r="I19" s="185"/>
      <c r="J19" s="419">
        <f>-48.3+F19</f>
        <v>-90.1</v>
      </c>
      <c r="K19" s="185"/>
      <c r="L19" s="419">
        <v>-137.6</v>
      </c>
      <c r="M19" s="185"/>
      <c r="N19" s="158">
        <v>-303.3</v>
      </c>
      <c r="O19" s="174"/>
      <c r="P19" s="158"/>
      <c r="Q19" s="97"/>
      <c r="R19" s="97"/>
      <c r="S19" s="100"/>
    </row>
    <row r="20" spans="1:19" ht="11.45" customHeight="1">
      <c r="A20" s="170"/>
      <c r="B20" s="173" t="s">
        <v>100</v>
      </c>
      <c r="C20" s="173"/>
      <c r="D20" s="173"/>
      <c r="E20" s="185"/>
      <c r="F20" s="360">
        <v>-67</v>
      </c>
      <c r="G20" s="174"/>
      <c r="H20" s="158">
        <v>-72.2</v>
      </c>
      <c r="I20" s="185"/>
      <c r="J20" s="419">
        <f>-114.4+F20</f>
        <v>-181.4</v>
      </c>
      <c r="K20" s="185"/>
      <c r="L20" s="419">
        <v>-102.9</v>
      </c>
      <c r="M20" s="185"/>
      <c r="N20" s="158">
        <v>-164</v>
      </c>
      <c r="O20" s="174"/>
      <c r="P20" s="158"/>
      <c r="Q20" s="429"/>
      <c r="R20" s="429"/>
      <c r="S20" s="100"/>
    </row>
    <row r="21" spans="1:19" ht="11.45" customHeight="1">
      <c r="A21" s="170"/>
      <c r="B21" s="173" t="s">
        <v>86</v>
      </c>
      <c r="C21" s="173"/>
      <c r="D21" s="168"/>
      <c r="E21" s="185"/>
      <c r="F21" s="360">
        <v>-2.5</v>
      </c>
      <c r="G21" s="174"/>
      <c r="H21" s="158">
        <v>-3.6</v>
      </c>
      <c r="I21" s="185"/>
      <c r="J21" s="419">
        <f>-2.9+F21</f>
        <v>-5.4</v>
      </c>
      <c r="K21" s="185"/>
      <c r="L21" s="419">
        <v>-8.5</v>
      </c>
      <c r="M21" s="185"/>
      <c r="N21" s="158">
        <v>-19</v>
      </c>
      <c r="O21" s="174"/>
      <c r="P21" s="158"/>
      <c r="Q21" s="97"/>
      <c r="R21" s="97"/>
      <c r="S21" s="100"/>
    </row>
    <row r="22" spans="1:19" ht="11.45" customHeight="1">
      <c r="A22" s="170"/>
      <c r="B22" s="173" t="s">
        <v>105</v>
      </c>
      <c r="C22" s="173"/>
      <c r="D22" s="143"/>
      <c r="E22" s="185"/>
      <c r="F22" s="360">
        <v>0.2</v>
      </c>
      <c r="G22" s="174"/>
      <c r="H22" s="158">
        <v>-21.1</v>
      </c>
      <c r="I22" s="185"/>
      <c r="J22" s="419">
        <f>-93.3+F22</f>
        <v>-93.1</v>
      </c>
      <c r="K22" s="185"/>
      <c r="L22" s="419">
        <v>-16</v>
      </c>
      <c r="M22" s="185"/>
      <c r="N22" s="158">
        <v>-24.2</v>
      </c>
      <c r="O22" s="174"/>
      <c r="P22" s="158"/>
      <c r="Q22" s="97"/>
      <c r="R22" s="97"/>
      <c r="S22" s="99"/>
    </row>
    <row r="23" spans="1:19" ht="11.45" customHeight="1">
      <c r="A23" s="170"/>
      <c r="B23" s="143" t="s">
        <v>130</v>
      </c>
      <c r="C23" s="143"/>
      <c r="D23" s="143"/>
      <c r="E23" s="185"/>
      <c r="F23" s="360">
        <v>0</v>
      </c>
      <c r="G23" s="174"/>
      <c r="H23" s="158">
        <v>84.1</v>
      </c>
      <c r="I23" s="185"/>
      <c r="J23" s="419">
        <f>+F23</f>
        <v>0</v>
      </c>
      <c r="K23" s="185"/>
      <c r="L23" s="419">
        <v>84.1</v>
      </c>
      <c r="M23" s="185"/>
      <c r="N23" s="158">
        <v>88.6</v>
      </c>
      <c r="O23" s="174"/>
      <c r="P23" s="158"/>
      <c r="Q23" s="97"/>
      <c r="R23" s="97"/>
      <c r="S23" s="99"/>
    </row>
    <row r="24" spans="1:19" ht="11.45" customHeight="1">
      <c r="A24" s="186"/>
      <c r="B24" s="173" t="s">
        <v>128</v>
      </c>
      <c r="C24" s="173"/>
      <c r="D24" s="173"/>
      <c r="E24" s="185"/>
      <c r="F24" s="360">
        <v>-0.6</v>
      </c>
      <c r="G24" s="174"/>
      <c r="H24" s="158">
        <v>-0.2</v>
      </c>
      <c r="I24" s="185"/>
      <c r="J24" s="419">
        <f>-1.1+F24</f>
        <v>-1.7000000000000002</v>
      </c>
      <c r="K24" s="185"/>
      <c r="L24" s="419">
        <v>-2.1</v>
      </c>
      <c r="M24" s="185"/>
      <c r="N24" s="158">
        <v>-5</v>
      </c>
      <c r="O24" s="174"/>
      <c r="P24" s="158"/>
      <c r="Q24" s="97"/>
      <c r="R24" s="97"/>
      <c r="S24" s="100"/>
    </row>
    <row r="25" spans="1:19" ht="11.45" customHeight="1">
      <c r="A25" s="180"/>
      <c r="B25" s="181" t="s">
        <v>129</v>
      </c>
      <c r="C25" s="182"/>
      <c r="D25" s="181"/>
      <c r="E25" s="183"/>
      <c r="F25" s="364">
        <f>SUM(F19:F24)</f>
        <v>-111.69999999999999</v>
      </c>
      <c r="G25" s="211"/>
      <c r="H25" s="160">
        <f>SUM(H19:H24)</f>
        <v>-86.600000000000009</v>
      </c>
      <c r="I25" s="183"/>
      <c r="J25" s="160">
        <f>SUM(J19:J24)</f>
        <v>-371.7</v>
      </c>
      <c r="K25" s="183"/>
      <c r="L25" s="160">
        <f>SUM(L19:L24)</f>
        <v>-183</v>
      </c>
      <c r="M25" s="183"/>
      <c r="N25" s="160">
        <f>SUM(N19:N24)</f>
        <v>-426.9</v>
      </c>
      <c r="O25" s="211"/>
      <c r="P25" s="157"/>
      <c r="Q25" s="99"/>
      <c r="R25" s="99"/>
      <c r="S25" s="100"/>
    </row>
    <row r="26" spans="1:19" ht="11.45" customHeight="1">
      <c r="A26" s="186"/>
      <c r="B26" s="187" t="s">
        <v>111</v>
      </c>
      <c r="C26" s="187"/>
      <c r="D26" s="187"/>
      <c r="E26" s="185"/>
      <c r="F26" s="373">
        <v>34.200000000000003</v>
      </c>
      <c r="G26" s="174"/>
      <c r="H26" s="158">
        <v>0</v>
      </c>
      <c r="I26" s="185"/>
      <c r="J26" s="419">
        <f>78.6+F26</f>
        <v>112.8</v>
      </c>
      <c r="K26" s="185"/>
      <c r="L26" s="419">
        <v>0</v>
      </c>
      <c r="M26" s="185"/>
      <c r="N26" s="158">
        <v>35.799999999999997</v>
      </c>
      <c r="O26" s="174"/>
      <c r="P26" s="158"/>
      <c r="Q26" s="97"/>
      <c r="R26" s="97"/>
      <c r="S26" s="100"/>
    </row>
    <row r="27" spans="1:19" ht="11.45" customHeight="1">
      <c r="A27" s="186"/>
      <c r="B27" s="187" t="s">
        <v>177</v>
      </c>
      <c r="C27" s="187"/>
      <c r="D27" s="187"/>
      <c r="E27" s="188"/>
      <c r="F27" s="373">
        <v>-8.6</v>
      </c>
      <c r="G27" s="159"/>
      <c r="H27" s="158">
        <v>-6.2</v>
      </c>
      <c r="I27" s="188"/>
      <c r="J27" s="423">
        <f>-6.2+F27</f>
        <v>-14.8</v>
      </c>
      <c r="K27" s="188"/>
      <c r="L27" s="423">
        <v>-12.4</v>
      </c>
      <c r="M27" s="188"/>
      <c r="N27" s="158">
        <v>-24.8</v>
      </c>
      <c r="O27" s="159"/>
      <c r="P27" s="158"/>
      <c r="Q27" s="97"/>
      <c r="R27" s="97"/>
      <c r="S27" s="99"/>
    </row>
    <row r="28" spans="1:19" ht="11.45" customHeight="1">
      <c r="A28" s="186"/>
      <c r="B28" s="187" t="s">
        <v>134</v>
      </c>
      <c r="C28" s="187"/>
      <c r="D28" s="187"/>
      <c r="E28" s="188"/>
      <c r="F28" s="360">
        <v>0</v>
      </c>
      <c r="G28" s="159"/>
      <c r="H28" s="158">
        <v>-40</v>
      </c>
      <c r="I28" s="188"/>
      <c r="J28" s="423">
        <f>95+F28</f>
        <v>95</v>
      </c>
      <c r="K28" s="188"/>
      <c r="L28" s="423">
        <v>-50</v>
      </c>
      <c r="M28" s="188"/>
      <c r="N28" s="158">
        <v>-75</v>
      </c>
      <c r="O28" s="159"/>
      <c r="P28" s="158"/>
      <c r="Q28" s="97"/>
      <c r="R28" s="97"/>
      <c r="S28" s="99"/>
    </row>
    <row r="29" spans="1:19" ht="11.45" hidden="1" customHeight="1">
      <c r="A29" s="186"/>
      <c r="B29" s="187" t="s">
        <v>85</v>
      </c>
      <c r="C29" s="187"/>
      <c r="D29" s="143"/>
      <c r="E29" s="185"/>
      <c r="F29" s="360">
        <v>0</v>
      </c>
      <c r="G29" s="174"/>
      <c r="H29" s="158">
        <v>0</v>
      </c>
      <c r="I29" s="185"/>
      <c r="J29" s="419"/>
      <c r="K29" s="185"/>
      <c r="L29" s="419"/>
      <c r="M29" s="185"/>
      <c r="N29" s="158">
        <v>0</v>
      </c>
      <c r="O29" s="174"/>
      <c r="P29" s="158"/>
      <c r="Q29" s="97"/>
      <c r="R29" s="97"/>
      <c r="S29" s="100"/>
    </row>
    <row r="30" spans="1:19" ht="11.45" customHeight="1">
      <c r="A30" s="170"/>
      <c r="B30" s="187" t="s">
        <v>205</v>
      </c>
      <c r="C30" s="187"/>
      <c r="D30" s="143"/>
      <c r="E30" s="185"/>
      <c r="F30" s="360">
        <v>0</v>
      </c>
      <c r="G30" s="176"/>
      <c r="H30" s="158">
        <v>0</v>
      </c>
      <c r="I30" s="185"/>
      <c r="J30" s="419">
        <f>+F30</f>
        <v>0</v>
      </c>
      <c r="K30" s="185"/>
      <c r="L30" s="419">
        <v>0</v>
      </c>
      <c r="M30" s="185"/>
      <c r="N30" s="158">
        <v>104.2</v>
      </c>
      <c r="O30" s="176"/>
      <c r="P30" s="158"/>
      <c r="Q30" s="97"/>
      <c r="R30" s="97"/>
      <c r="S30" s="103"/>
    </row>
    <row r="31" spans="1:19" ht="11.45" customHeight="1">
      <c r="A31" s="170"/>
      <c r="B31" s="187" t="s">
        <v>93</v>
      </c>
      <c r="C31" s="187"/>
      <c r="D31" s="143"/>
      <c r="E31" s="185"/>
      <c r="F31" s="360">
        <v>0</v>
      </c>
      <c r="G31" s="176"/>
      <c r="H31" s="158">
        <v>-20.3</v>
      </c>
      <c r="I31" s="185"/>
      <c r="J31" s="419">
        <f>+F31</f>
        <v>0</v>
      </c>
      <c r="K31" s="185"/>
      <c r="L31" s="419">
        <v>-20.3</v>
      </c>
      <c r="M31" s="185"/>
      <c r="N31" s="158">
        <v>-20.3</v>
      </c>
      <c r="O31" s="176"/>
      <c r="P31" s="158"/>
      <c r="Q31" s="97"/>
      <c r="R31" s="97"/>
      <c r="S31" s="103"/>
    </row>
    <row r="32" spans="1:19" ht="11.45" customHeight="1">
      <c r="A32" s="170"/>
      <c r="B32" s="187" t="s">
        <v>84</v>
      </c>
      <c r="C32" s="187"/>
      <c r="D32" s="187"/>
      <c r="E32" s="185"/>
      <c r="F32" s="360">
        <v>-23.2</v>
      </c>
      <c r="G32" s="176"/>
      <c r="H32" s="158">
        <v>-21.3</v>
      </c>
      <c r="I32" s="185"/>
      <c r="J32" s="419">
        <f>-5.8+F32</f>
        <v>-29</v>
      </c>
      <c r="K32" s="185"/>
      <c r="L32" s="419">
        <v>-26.8</v>
      </c>
      <c r="M32" s="185"/>
      <c r="N32" s="158">
        <v>-54</v>
      </c>
      <c r="O32" s="176"/>
      <c r="P32" s="158"/>
      <c r="Q32" s="97"/>
      <c r="R32" s="97"/>
      <c r="S32" s="103"/>
    </row>
    <row r="33" spans="1:19" ht="11.45" customHeight="1">
      <c r="A33" s="180"/>
      <c r="B33" s="181" t="s">
        <v>101</v>
      </c>
      <c r="C33" s="182"/>
      <c r="D33" s="181"/>
      <c r="E33" s="183"/>
      <c r="F33" s="364">
        <f>SUM(F26:F32)</f>
        <v>2.4000000000000021</v>
      </c>
      <c r="G33" s="211"/>
      <c r="H33" s="364">
        <f>SUM(H26:H32)</f>
        <v>-87.8</v>
      </c>
      <c r="I33" s="183"/>
      <c r="J33" s="364">
        <f>SUM(J26:J32)</f>
        <v>164</v>
      </c>
      <c r="K33" s="183"/>
      <c r="L33" s="364">
        <f>SUM(L26:L32)</f>
        <v>-109.5</v>
      </c>
      <c r="M33" s="183"/>
      <c r="N33" s="160">
        <f>SUM(N26:N32)</f>
        <v>-34.099999999999994</v>
      </c>
      <c r="O33" s="211"/>
      <c r="P33" s="157"/>
      <c r="Q33" s="99"/>
      <c r="R33" s="99"/>
      <c r="S33" s="100"/>
    </row>
    <row r="34" spans="1:19" ht="11.45" customHeight="1">
      <c r="A34" s="186"/>
      <c r="B34" s="173" t="s">
        <v>178</v>
      </c>
      <c r="C34" s="173"/>
      <c r="D34" s="186"/>
      <c r="E34" s="183"/>
      <c r="F34" s="158">
        <f>+F33+F25+F18</f>
        <v>-66.938999999999965</v>
      </c>
      <c r="G34" s="174"/>
      <c r="H34" s="158">
        <f>+H33+H25+H18</f>
        <v>-91.265000000000015</v>
      </c>
      <c r="I34" s="183"/>
      <c r="J34" s="158">
        <f>+J33+J25+J18</f>
        <v>-31.937999999999988</v>
      </c>
      <c r="K34" s="183"/>
      <c r="L34" s="158">
        <f>+L33+L25+L18</f>
        <v>2.8999999999999773</v>
      </c>
      <c r="M34" s="183"/>
      <c r="N34" s="158">
        <f>+N33+N25+N18</f>
        <v>26.900000000000034</v>
      </c>
      <c r="O34" s="174"/>
      <c r="P34" s="158"/>
      <c r="Q34" s="97"/>
      <c r="R34" s="97"/>
      <c r="S34" s="100"/>
    </row>
    <row r="35" spans="1:19" ht="11.45" customHeight="1">
      <c r="A35" s="186"/>
      <c r="B35" s="173" t="s">
        <v>83</v>
      </c>
      <c r="C35" s="173"/>
      <c r="D35" s="186"/>
      <c r="E35" s="183"/>
      <c r="F35" s="158">
        <v>116.6</v>
      </c>
      <c r="G35" s="174"/>
      <c r="H35" s="158">
        <v>148.9</v>
      </c>
      <c r="I35" s="183"/>
      <c r="J35" s="428">
        <f>N36</f>
        <v>81.600000000000037</v>
      </c>
      <c r="K35" s="183"/>
      <c r="L35" s="421">
        <v>54.7</v>
      </c>
      <c r="M35" s="183"/>
      <c r="N35" s="158">
        <v>54.7</v>
      </c>
      <c r="O35" s="174"/>
      <c r="P35" s="158"/>
      <c r="Q35" s="97"/>
      <c r="R35" s="97"/>
      <c r="S35" s="100"/>
    </row>
    <row r="36" spans="1:19" ht="11.45" customHeight="1" thickBot="1">
      <c r="A36" s="189" t="s">
        <v>82</v>
      </c>
      <c r="B36" s="189"/>
      <c r="C36" s="189"/>
      <c r="D36" s="189"/>
      <c r="E36" s="183"/>
      <c r="F36" s="190">
        <f>SUM(F34:F35)</f>
        <v>49.66100000000003</v>
      </c>
      <c r="G36" s="191"/>
      <c r="H36" s="190">
        <f>SUM(H34:H35)</f>
        <v>57.634999999999991</v>
      </c>
      <c r="I36" s="183"/>
      <c r="J36" s="190">
        <f>SUM(J34:J35)</f>
        <v>49.662000000000049</v>
      </c>
      <c r="K36" s="183"/>
      <c r="L36" s="190">
        <f>SUM(L34:L35)</f>
        <v>57.59999999999998</v>
      </c>
      <c r="M36" s="183"/>
      <c r="N36" s="190">
        <f>SUM(N34:N35)</f>
        <v>81.600000000000037</v>
      </c>
      <c r="O36" s="191"/>
      <c r="P36" s="157"/>
      <c r="Q36" s="102"/>
      <c r="R36" s="102"/>
      <c r="S36" s="111"/>
    </row>
    <row r="37" spans="1:19">
      <c r="A37" s="1"/>
      <c r="B37" s="2" t="s">
        <v>0</v>
      </c>
      <c r="C37" s="2"/>
      <c r="D37" s="2"/>
      <c r="E37" s="2"/>
      <c r="F37" s="2"/>
      <c r="G37" s="2"/>
      <c r="H37" s="32"/>
      <c r="I37" s="2"/>
      <c r="J37" s="2"/>
      <c r="K37" s="2"/>
      <c r="L37" s="2"/>
      <c r="M37" s="2"/>
      <c r="N37" s="2"/>
      <c r="O37" s="32"/>
      <c r="P37" s="2"/>
      <c r="Q37" s="2"/>
      <c r="R37" s="2"/>
      <c r="S37" s="2"/>
    </row>
    <row r="38" spans="1:19">
      <c r="A38" s="43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2"/>
      <c r="S38" s="85"/>
    </row>
    <row r="39" spans="1:19" hidden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85"/>
      <c r="S39" s="43"/>
    </row>
    <row r="40" spans="1:19">
      <c r="A40" s="43" t="s">
        <v>0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>
      <c r="A41" s="43" t="s">
        <v>0</v>
      </c>
      <c r="B41" s="43"/>
      <c r="C41" s="43"/>
      <c r="D41" s="43"/>
      <c r="E41" s="43"/>
      <c r="F41" s="43"/>
      <c r="G41" s="43"/>
      <c r="H41" s="43"/>
      <c r="I41" s="43"/>
      <c r="J41" s="75"/>
      <c r="K41" s="43"/>
      <c r="L41" s="43"/>
      <c r="M41" s="43"/>
      <c r="N41" s="43"/>
      <c r="O41" s="43"/>
      <c r="P41" s="43"/>
      <c r="Q41" s="43"/>
      <c r="R41" s="43"/>
      <c r="S41" s="43"/>
    </row>
    <row r="42" spans="1:19">
      <c r="A42" s="43"/>
      <c r="B42" s="43"/>
      <c r="C42" s="43"/>
      <c r="D42" s="43" t="s">
        <v>116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>
      <c r="R69" s="43"/>
    </row>
  </sheetData>
  <mergeCells count="7">
    <mergeCell ref="N3:O3"/>
    <mergeCell ref="N4:O4"/>
    <mergeCell ref="A1:P1"/>
    <mergeCell ref="F3:H3"/>
    <mergeCell ref="F4:H4"/>
    <mergeCell ref="J3:L3"/>
    <mergeCell ref="J4:L4"/>
  </mergeCells>
  <printOptions horizontalCentered="1"/>
  <pageMargins left="0.51181102362204722" right="0.23622047244094491" top="0.39370078740157483" bottom="0.51181102362204722" header="0.31496062992125984" footer="0.23622047244094491"/>
  <pageSetup paperSize="9" scale="67" orientation="portrait" r:id="rId1"/>
  <headerFooter alignWithMargins="0"/>
  <colBreaks count="1" manualBreakCount="1">
    <brk id="17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23"/>
  <sheetViews>
    <sheetView showGridLines="0" zoomScaleNormal="100" workbookViewId="0">
      <selection sqref="A1:N1"/>
    </sheetView>
  </sheetViews>
  <sheetFormatPr defaultColWidth="9.140625" defaultRowHeight="12.75"/>
  <cols>
    <col min="1" max="1" width="2.5703125" style="45" customWidth="1"/>
    <col min="2" max="2" width="41.5703125" style="45" customWidth="1"/>
    <col min="3" max="3" width="1.7109375" style="45" customWidth="1"/>
    <col min="4" max="4" width="9.5703125" style="45" customWidth="1"/>
    <col min="5" max="5" width="1.7109375" style="45" customWidth="1"/>
    <col min="6" max="6" width="8.85546875" style="45" customWidth="1"/>
    <col min="7" max="7" width="1.7109375" style="45" customWidth="1"/>
    <col min="8" max="8" width="8.7109375" style="45" customWidth="1"/>
    <col min="9" max="9" width="1.7109375" style="45" customWidth="1"/>
    <col min="10" max="10" width="10.85546875" style="45" bestFit="1" customWidth="1"/>
    <col min="11" max="11" width="1.7109375" style="45" customWidth="1"/>
    <col min="12" max="12" width="12.85546875" style="45" customWidth="1"/>
    <col min="13" max="13" width="1.7109375" style="45" customWidth="1"/>
    <col min="14" max="14" width="9.28515625" style="45" customWidth="1"/>
    <col min="15" max="15" width="1.7109375" style="45" customWidth="1"/>
    <col min="16" max="16" width="11.7109375" style="45" customWidth="1"/>
    <col min="17" max="18" width="9.140625" style="45"/>
    <col min="19" max="19" width="11.140625" style="45" bestFit="1" customWidth="1"/>
    <col min="20" max="16384" width="9.140625" style="45"/>
  </cols>
  <sheetData>
    <row r="1" spans="1:26" s="1" customFormat="1" ht="18.75">
      <c r="A1" s="520" t="s">
        <v>126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110"/>
      <c r="P1" s="110"/>
      <c r="Q1" s="110"/>
      <c r="R1" s="9"/>
      <c r="S1" s="118"/>
      <c r="T1" s="8"/>
      <c r="U1" s="8"/>
      <c r="V1" s="8"/>
      <c r="W1" s="128"/>
      <c r="X1" s="8"/>
      <c r="Y1" s="8"/>
      <c r="Z1" s="8"/>
    </row>
    <row r="2" spans="1:26" s="1" customFormat="1" ht="11.25" customHeight="1" thickBot="1">
      <c r="A2" s="192"/>
      <c r="B2" s="192"/>
      <c r="C2" s="192"/>
      <c r="D2" s="192"/>
      <c r="E2" s="192"/>
      <c r="F2" s="206"/>
      <c r="G2" s="206"/>
      <c r="H2" s="207"/>
      <c r="I2" s="207"/>
      <c r="J2" s="207"/>
      <c r="K2" s="313"/>
      <c r="L2" s="313"/>
      <c r="M2" s="314"/>
      <c r="N2" s="314"/>
      <c r="O2" s="87"/>
      <c r="P2" s="87"/>
      <c r="Q2" s="87"/>
      <c r="R2" s="20"/>
      <c r="S2" s="120"/>
      <c r="T2" s="8"/>
      <c r="U2" s="8"/>
      <c r="V2" s="8"/>
      <c r="W2" s="128"/>
      <c r="X2" s="8"/>
      <c r="Y2" s="8"/>
      <c r="Z2" s="8"/>
    </row>
    <row r="3" spans="1:26" ht="18.75">
      <c r="A3" s="405" t="s">
        <v>239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26" ht="11.45" customHeight="1">
      <c r="A4" s="54" t="s">
        <v>0</v>
      </c>
      <c r="B4" s="54"/>
      <c r="C4" s="54"/>
      <c r="D4" s="525" t="s">
        <v>91</v>
      </c>
      <c r="E4" s="525"/>
      <c r="F4" s="525"/>
      <c r="G4" s="525"/>
      <c r="H4" s="525"/>
      <c r="I4" s="525"/>
      <c r="J4" s="525"/>
      <c r="K4" s="525"/>
      <c r="L4" s="525"/>
      <c r="M4" s="147"/>
      <c r="N4" s="147"/>
      <c r="O4" s="54"/>
      <c r="P4" s="54"/>
    </row>
    <row r="5" spans="1:26" ht="11.45" customHeight="1">
      <c r="A5" s="43"/>
      <c r="B5" s="43"/>
      <c r="C5" s="44"/>
      <c r="D5" s="148" t="s">
        <v>60</v>
      </c>
      <c r="E5" s="148"/>
      <c r="F5" s="149" t="s">
        <v>59</v>
      </c>
      <c r="G5" s="149"/>
      <c r="H5" s="148" t="s">
        <v>58</v>
      </c>
      <c r="I5" s="150"/>
      <c r="J5" s="148"/>
      <c r="K5" s="148" t="s">
        <v>0</v>
      </c>
      <c r="L5" s="149" t="s">
        <v>122</v>
      </c>
      <c r="M5" s="149"/>
      <c r="N5" s="149"/>
      <c r="O5" s="71"/>
      <c r="P5" s="72"/>
      <c r="Q5" s="43"/>
      <c r="R5" s="43"/>
      <c r="S5" s="43"/>
      <c r="V5" s="43"/>
    </row>
    <row r="6" spans="1:26" ht="11.45" customHeight="1">
      <c r="A6" s="43"/>
      <c r="B6" s="43"/>
      <c r="C6" s="44"/>
      <c r="D6" s="151" t="s">
        <v>56</v>
      </c>
      <c r="E6" s="151"/>
      <c r="F6" s="149" t="s">
        <v>55</v>
      </c>
      <c r="G6" s="149"/>
      <c r="H6" s="148" t="s">
        <v>54</v>
      </c>
      <c r="I6" s="150"/>
      <c r="J6" s="148" t="s">
        <v>57</v>
      </c>
      <c r="K6" s="148" t="s">
        <v>0</v>
      </c>
      <c r="L6" s="149" t="s">
        <v>123</v>
      </c>
      <c r="M6" s="149"/>
      <c r="N6" s="149" t="s">
        <v>52</v>
      </c>
      <c r="O6" s="71"/>
      <c r="P6" s="71"/>
      <c r="Q6" s="43"/>
      <c r="R6" s="43"/>
      <c r="S6" s="43"/>
      <c r="V6" s="43"/>
    </row>
    <row r="7" spans="1:26" ht="11.45" customHeight="1">
      <c r="A7" s="146" t="s">
        <v>108</v>
      </c>
      <c r="B7" s="67"/>
      <c r="C7" s="44"/>
      <c r="D7" s="152" t="s">
        <v>51</v>
      </c>
      <c r="E7" s="153"/>
      <c r="F7" s="152" t="s">
        <v>51</v>
      </c>
      <c r="G7" s="154"/>
      <c r="H7" s="152" t="s">
        <v>50</v>
      </c>
      <c r="I7" s="154"/>
      <c r="J7" s="155" t="s">
        <v>53</v>
      </c>
      <c r="K7" s="153" t="s">
        <v>0</v>
      </c>
      <c r="L7" s="152" t="s">
        <v>124</v>
      </c>
      <c r="M7" s="154"/>
      <c r="N7" s="152" t="s">
        <v>49</v>
      </c>
      <c r="O7" s="69"/>
      <c r="P7" s="70"/>
      <c r="Q7" s="43"/>
      <c r="R7" s="43"/>
      <c r="S7" s="43"/>
      <c r="T7" s="43"/>
      <c r="U7" s="43"/>
      <c r="V7" s="43"/>
    </row>
    <row r="8" spans="1:26" s="66" customFormat="1" ht="11.45" customHeight="1">
      <c r="A8" s="141" t="s">
        <v>166</v>
      </c>
      <c r="B8" s="141"/>
      <c r="C8" s="49"/>
      <c r="D8" s="156">
        <v>96.5</v>
      </c>
      <c r="E8" s="156" t="s">
        <v>0</v>
      </c>
      <c r="F8" s="156">
        <v>-1.9</v>
      </c>
      <c r="G8" s="156" t="s">
        <v>0</v>
      </c>
      <c r="H8" s="156">
        <v>526.9</v>
      </c>
      <c r="I8" s="156" t="s">
        <v>0</v>
      </c>
      <c r="J8" s="156">
        <v>1340.9</v>
      </c>
      <c r="K8" s="156" t="s">
        <v>0</v>
      </c>
      <c r="L8" s="156">
        <v>-60.8</v>
      </c>
      <c r="M8" s="156" t="s">
        <v>0</v>
      </c>
      <c r="N8" s="157">
        <f t="shared" ref="N8:N22" si="0">SUM(D8:L8)</f>
        <v>1901.6000000000001</v>
      </c>
      <c r="O8" s="123"/>
      <c r="P8" s="102"/>
      <c r="Q8" s="49"/>
      <c r="R8" s="49"/>
      <c r="S8" s="49"/>
      <c r="T8" s="49"/>
      <c r="U8" s="49"/>
      <c r="V8" s="49"/>
    </row>
    <row r="9" spans="1:26" s="50" customFormat="1" ht="11.45" customHeight="1">
      <c r="A9" s="142"/>
      <c r="B9" s="143" t="s">
        <v>48</v>
      </c>
      <c r="C9" s="51"/>
      <c r="D9" s="158">
        <v>0</v>
      </c>
      <c r="E9" s="158">
        <v>0</v>
      </c>
      <c r="F9" s="158">
        <v>0</v>
      </c>
      <c r="G9" s="158">
        <v>0</v>
      </c>
      <c r="H9" s="158">
        <v>0</v>
      </c>
      <c r="I9" s="158">
        <v>0</v>
      </c>
      <c r="J9" s="158">
        <v>-83.3</v>
      </c>
      <c r="K9" s="158"/>
      <c r="L9" s="158">
        <v>-1.7</v>
      </c>
      <c r="M9" s="158">
        <v>1.3</v>
      </c>
      <c r="N9" s="159">
        <f t="shared" si="0"/>
        <v>-85</v>
      </c>
      <c r="O9" s="121"/>
      <c r="P9" s="99"/>
      <c r="Q9" s="68"/>
      <c r="R9" s="53"/>
      <c r="S9" s="53"/>
      <c r="T9" s="53"/>
      <c r="U9" s="53"/>
      <c r="V9" s="53"/>
    </row>
    <row r="10" spans="1:26" s="50" customFormat="1" ht="11.45" customHeight="1">
      <c r="A10" s="142"/>
      <c r="B10" s="143" t="s">
        <v>243</v>
      </c>
      <c r="C10" s="51"/>
      <c r="D10" s="158">
        <v>0</v>
      </c>
      <c r="E10" s="158"/>
      <c r="F10" s="158">
        <v>0</v>
      </c>
      <c r="G10" s="158"/>
      <c r="H10" s="158">
        <v>0</v>
      </c>
      <c r="I10" s="158"/>
      <c r="J10" s="158">
        <v>-20.34</v>
      </c>
      <c r="K10" s="158"/>
      <c r="L10" s="158">
        <v>0</v>
      </c>
      <c r="M10" s="158"/>
      <c r="N10" s="159">
        <f t="shared" si="0"/>
        <v>-20.34</v>
      </c>
      <c r="O10" s="121"/>
      <c r="P10" s="99"/>
      <c r="Q10" s="68"/>
      <c r="R10" s="53"/>
      <c r="S10" s="53"/>
      <c r="T10" s="53"/>
      <c r="U10" s="53"/>
      <c r="V10" s="53"/>
    </row>
    <row r="11" spans="1:26" s="50" customFormat="1" ht="11.45" customHeight="1">
      <c r="A11" s="142"/>
      <c r="B11" s="144" t="s">
        <v>119</v>
      </c>
      <c r="C11" s="51"/>
      <c r="D11" s="158">
        <v>0</v>
      </c>
      <c r="E11" s="158">
        <v>0</v>
      </c>
      <c r="F11" s="158">
        <v>0.2</v>
      </c>
      <c r="G11" s="158">
        <v>0</v>
      </c>
      <c r="H11" s="158">
        <v>3.6</v>
      </c>
      <c r="I11" s="158">
        <v>0</v>
      </c>
      <c r="J11" s="158">
        <v>-0.22</v>
      </c>
      <c r="K11" s="158">
        <v>0</v>
      </c>
      <c r="L11" s="158">
        <v>0</v>
      </c>
      <c r="M11" s="158">
        <v>0</v>
      </c>
      <c r="N11" s="159">
        <f t="shared" si="0"/>
        <v>3.58</v>
      </c>
      <c r="O11" s="121"/>
      <c r="P11" s="99"/>
      <c r="Q11" s="68"/>
      <c r="R11" s="53"/>
      <c r="S11" s="53"/>
      <c r="T11" s="53"/>
      <c r="U11" s="53"/>
      <c r="V11" s="53"/>
    </row>
    <row r="12" spans="1:26" s="66" customFormat="1" ht="11.45" customHeight="1">
      <c r="A12" s="145" t="s">
        <v>245</v>
      </c>
      <c r="B12" s="145"/>
      <c r="C12" s="49"/>
      <c r="D12" s="160">
        <f>SUM(D8:D11)</f>
        <v>96.5</v>
      </c>
      <c r="E12" s="157"/>
      <c r="F12" s="160">
        <f>SUM(F8:F11)</f>
        <v>-1.7</v>
      </c>
      <c r="G12" s="157"/>
      <c r="H12" s="160">
        <f>SUM(H8:H11)</f>
        <v>530.5</v>
      </c>
      <c r="I12" s="157"/>
      <c r="J12" s="160">
        <f>SUM(J8:J11)</f>
        <v>1237.0400000000002</v>
      </c>
      <c r="K12" s="157"/>
      <c r="L12" s="160">
        <f>SUM(L8:L11)+0.04</f>
        <v>-62.46</v>
      </c>
      <c r="M12" s="157"/>
      <c r="N12" s="160">
        <f>SUM(D12:L12)</f>
        <v>1799.88</v>
      </c>
      <c r="O12" s="123"/>
      <c r="P12" s="102"/>
      <c r="Q12" s="49"/>
      <c r="R12" s="49"/>
      <c r="S12" s="49"/>
      <c r="T12" s="49"/>
      <c r="U12" s="49"/>
      <c r="V12" s="49"/>
    </row>
    <row r="13" spans="1:26" s="66" customFormat="1" ht="11.45" customHeight="1">
      <c r="A13" s="518" t="s">
        <v>244</v>
      </c>
      <c r="B13" s="141"/>
      <c r="C13" s="49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23"/>
      <c r="P13" s="102"/>
      <c r="Q13" s="49"/>
      <c r="R13" s="49"/>
      <c r="S13" s="49"/>
      <c r="T13" s="49"/>
      <c r="U13" s="49"/>
      <c r="V13" s="49"/>
    </row>
    <row r="14" spans="1:26" s="127" customFormat="1" ht="11.45" customHeight="1">
      <c r="A14" s="86"/>
      <c r="B14" s="126"/>
      <c r="C14" s="126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26"/>
      <c r="R14" s="126"/>
      <c r="S14" s="126"/>
      <c r="T14" s="126"/>
      <c r="U14" s="126"/>
      <c r="V14" s="126"/>
    </row>
    <row r="15" spans="1:26" s="66" customFormat="1" ht="11.45" customHeight="1">
      <c r="A15" s="405" t="s">
        <v>240</v>
      </c>
      <c r="B15" s="49"/>
      <c r="C15" s="49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49"/>
      <c r="R15" s="49"/>
      <c r="S15" s="49"/>
      <c r="T15" s="49"/>
      <c r="U15" s="49"/>
      <c r="V15" s="49"/>
    </row>
    <row r="16" spans="1:26" ht="11.45" customHeight="1">
      <c r="A16" s="54" t="s">
        <v>0</v>
      </c>
      <c r="B16" s="54"/>
      <c r="C16" s="54"/>
      <c r="D16" s="525" t="s">
        <v>91</v>
      </c>
      <c r="E16" s="525"/>
      <c r="F16" s="525"/>
      <c r="G16" s="525"/>
      <c r="H16" s="525"/>
      <c r="I16" s="525"/>
      <c r="J16" s="525"/>
      <c r="K16" s="525"/>
      <c r="L16" s="525"/>
      <c r="M16" s="147"/>
      <c r="N16" s="147"/>
      <c r="O16" s="54"/>
      <c r="P16" s="54"/>
    </row>
    <row r="17" spans="1:22" ht="11.45" customHeight="1">
      <c r="A17" s="43"/>
      <c r="B17" s="43"/>
      <c r="C17" s="44"/>
      <c r="D17" s="148" t="s">
        <v>60</v>
      </c>
      <c r="E17" s="148"/>
      <c r="F17" s="149" t="s">
        <v>59</v>
      </c>
      <c r="G17" s="149"/>
      <c r="H17" s="148" t="s">
        <v>58</v>
      </c>
      <c r="I17" s="150"/>
      <c r="J17" s="148"/>
      <c r="K17" s="148" t="s">
        <v>0</v>
      </c>
      <c r="L17" s="149" t="s">
        <v>122</v>
      </c>
      <c r="M17" s="149"/>
      <c r="N17" s="149"/>
      <c r="O17" s="71"/>
      <c r="P17" s="72"/>
      <c r="Q17" s="43"/>
      <c r="R17" s="43"/>
      <c r="S17" s="43"/>
      <c r="V17" s="43"/>
    </row>
    <row r="18" spans="1:22" ht="11.45" customHeight="1">
      <c r="A18" s="43"/>
      <c r="B18" s="43"/>
      <c r="C18" s="44"/>
      <c r="D18" s="151" t="s">
        <v>56</v>
      </c>
      <c r="E18" s="151"/>
      <c r="F18" s="149" t="s">
        <v>55</v>
      </c>
      <c r="G18" s="149"/>
      <c r="H18" s="148" t="s">
        <v>54</v>
      </c>
      <c r="I18" s="150"/>
      <c r="J18" s="148" t="s">
        <v>57</v>
      </c>
      <c r="K18" s="148" t="s">
        <v>0</v>
      </c>
      <c r="L18" s="149" t="s">
        <v>123</v>
      </c>
      <c r="M18" s="149"/>
      <c r="N18" s="149" t="s">
        <v>52</v>
      </c>
      <c r="O18" s="71"/>
      <c r="P18" s="71"/>
      <c r="Q18" s="43"/>
      <c r="R18" s="43"/>
      <c r="S18" s="129"/>
      <c r="V18" s="43"/>
    </row>
    <row r="19" spans="1:22" ht="11.45" customHeight="1">
      <c r="A19" s="146" t="s">
        <v>108</v>
      </c>
      <c r="B19" s="67"/>
      <c r="C19" s="44"/>
      <c r="D19" s="152" t="s">
        <v>51</v>
      </c>
      <c r="E19" s="153"/>
      <c r="F19" s="152" t="s">
        <v>51</v>
      </c>
      <c r="G19" s="154"/>
      <c r="H19" s="152" t="s">
        <v>50</v>
      </c>
      <c r="I19" s="154"/>
      <c r="J19" s="155" t="s">
        <v>53</v>
      </c>
      <c r="K19" s="153" t="s">
        <v>0</v>
      </c>
      <c r="L19" s="152" t="s">
        <v>124</v>
      </c>
      <c r="M19" s="154"/>
      <c r="N19" s="152" t="s">
        <v>49</v>
      </c>
      <c r="O19" s="69"/>
      <c r="P19" s="70"/>
      <c r="Q19" s="43"/>
      <c r="R19" s="43"/>
      <c r="S19" s="129"/>
      <c r="T19" s="43"/>
      <c r="U19" s="43"/>
      <c r="V19" s="43"/>
    </row>
    <row r="20" spans="1:22" s="66" customFormat="1" ht="11.45" customHeight="1">
      <c r="A20" s="141" t="s">
        <v>212</v>
      </c>
      <c r="B20" s="141"/>
      <c r="C20" s="141"/>
      <c r="D20" s="156">
        <v>104</v>
      </c>
      <c r="E20" s="156">
        <v>0</v>
      </c>
      <c r="F20" s="156">
        <v>-1.1000000000000001</v>
      </c>
      <c r="G20" s="156">
        <v>0</v>
      </c>
      <c r="H20" s="156">
        <v>622.79999999999995</v>
      </c>
      <c r="I20" s="156">
        <v>0</v>
      </c>
      <c r="J20" s="156">
        <v>799.9</v>
      </c>
      <c r="K20" s="156">
        <v>0</v>
      </c>
      <c r="L20" s="156">
        <v>-61.9</v>
      </c>
      <c r="M20" s="157"/>
      <c r="N20" s="157">
        <f t="shared" si="0"/>
        <v>1463.6999999999998</v>
      </c>
      <c r="O20" s="102"/>
      <c r="P20" s="101"/>
      <c r="Q20" s="49"/>
      <c r="R20" s="49"/>
      <c r="S20" s="130"/>
      <c r="T20" s="49"/>
      <c r="U20" s="49"/>
      <c r="V20" s="49"/>
    </row>
    <row r="21" spans="1:22" s="50" customFormat="1" ht="11.45" customHeight="1">
      <c r="A21" s="142"/>
      <c r="B21" s="143" t="s">
        <v>48</v>
      </c>
      <c r="C21" s="142"/>
      <c r="D21" s="159">
        <v>0</v>
      </c>
      <c r="E21" s="159"/>
      <c r="F21" s="159">
        <v>0</v>
      </c>
      <c r="G21" s="159"/>
      <c r="H21" s="159">
        <v>0</v>
      </c>
      <c r="I21" s="159"/>
      <c r="J21" s="159">
        <f>+'IS &amp; OCI'!J22</f>
        <v>-108.68700000000001</v>
      </c>
      <c r="K21" s="159"/>
      <c r="L21" s="159">
        <f>+'IS &amp; OCI'!J27</f>
        <v>-8.1</v>
      </c>
      <c r="M21" s="159"/>
      <c r="N21" s="159">
        <f t="shared" si="0"/>
        <v>-116.78700000000001</v>
      </c>
      <c r="O21" s="99"/>
      <c r="P21" s="99"/>
      <c r="Q21" s="68"/>
      <c r="R21" s="53"/>
      <c r="S21" s="19"/>
      <c r="T21" s="53"/>
      <c r="U21" s="53"/>
      <c r="V21" s="53"/>
    </row>
    <row r="22" spans="1:22" s="50" customFormat="1" ht="11.45" customHeight="1">
      <c r="A22" s="142"/>
      <c r="B22" s="144" t="s">
        <v>119</v>
      </c>
      <c r="C22" s="142"/>
      <c r="D22" s="159">
        <v>0</v>
      </c>
      <c r="E22" s="159"/>
      <c r="F22" s="159">
        <v>0.2</v>
      </c>
      <c r="G22" s="159"/>
      <c r="H22" s="159">
        <v>3.4</v>
      </c>
      <c r="I22" s="159" t="s">
        <v>0</v>
      </c>
      <c r="J22" s="159">
        <v>-0.2</v>
      </c>
      <c r="K22" s="159"/>
      <c r="L22" s="159">
        <v>0</v>
      </c>
      <c r="M22" s="159"/>
      <c r="N22" s="159">
        <f t="shared" si="0"/>
        <v>3.4</v>
      </c>
      <c r="O22" s="99"/>
      <c r="P22" s="99"/>
      <c r="Q22" s="52"/>
      <c r="R22" s="53"/>
      <c r="S22" s="53"/>
      <c r="T22" s="53"/>
      <c r="U22" s="53"/>
      <c r="V22" s="53"/>
    </row>
    <row r="23" spans="1:22" s="66" customFormat="1" ht="11.45" customHeight="1">
      <c r="A23" s="145" t="s">
        <v>241</v>
      </c>
      <c r="B23" s="145"/>
      <c r="C23" s="141"/>
      <c r="D23" s="160">
        <f t="shared" ref="D23:L23" si="1">SUM(D20:D22)</f>
        <v>104</v>
      </c>
      <c r="E23" s="160">
        <f t="shared" si="1"/>
        <v>0</v>
      </c>
      <c r="F23" s="160">
        <f t="shared" si="1"/>
        <v>-0.90000000000000013</v>
      </c>
      <c r="G23" s="160">
        <f t="shared" si="1"/>
        <v>0</v>
      </c>
      <c r="H23" s="160">
        <f t="shared" si="1"/>
        <v>626.19999999999993</v>
      </c>
      <c r="I23" s="160">
        <f t="shared" si="1"/>
        <v>0</v>
      </c>
      <c r="J23" s="160">
        <f t="shared" si="1"/>
        <v>691.01299999999992</v>
      </c>
      <c r="K23" s="160">
        <f t="shared" si="1"/>
        <v>0</v>
      </c>
      <c r="L23" s="160">
        <f t="shared" si="1"/>
        <v>-70</v>
      </c>
      <c r="M23" s="157"/>
      <c r="N23" s="160">
        <f>SUM(D23:L23)</f>
        <v>1350.3129999999999</v>
      </c>
      <c r="O23" s="102"/>
      <c r="P23" s="101"/>
      <c r="Q23" s="49"/>
      <c r="R23" s="49"/>
      <c r="S23" s="49"/>
      <c r="T23" s="49"/>
      <c r="U23" s="49"/>
      <c r="V23" s="49"/>
    </row>
  </sheetData>
  <mergeCells count="3">
    <mergeCell ref="D4:L4"/>
    <mergeCell ref="D16:L16"/>
    <mergeCell ref="A1:N1"/>
  </mergeCells>
  <pageMargins left="0.5" right="0.25" top="0.39369999999999999" bottom="0.25" header="0.31490000000000001" footer="0.23619999999999999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242"/>
  <sheetViews>
    <sheetView showGridLines="0" zoomScale="110" zoomScaleNormal="110" workbookViewId="0">
      <selection activeCell="B1" sqref="B1"/>
    </sheetView>
  </sheetViews>
  <sheetFormatPr defaultColWidth="9.140625" defaultRowHeight="12.75"/>
  <cols>
    <col min="1" max="1" width="2.5703125" style="43" customWidth="1"/>
    <col min="2" max="2" width="59.140625" style="43" customWidth="1"/>
    <col min="3" max="3" width="1.7109375" style="43" customWidth="1"/>
    <col min="4" max="4" width="10.7109375" style="43" customWidth="1"/>
    <col min="5" max="5" width="1.7109375" style="43" customWidth="1"/>
    <col min="6" max="6" width="11.7109375" style="43" customWidth="1"/>
    <col min="7" max="7" width="1.7109375" style="43" customWidth="1"/>
    <col min="8" max="8" width="12.140625" style="43" customWidth="1"/>
    <col min="9" max="9" width="1.7109375" style="43" customWidth="1"/>
    <col min="10" max="10" width="13.140625" style="43" customWidth="1"/>
    <col min="11" max="11" width="1.7109375" style="43" customWidth="1"/>
    <col min="12" max="12" width="11.85546875" style="43" customWidth="1"/>
    <col min="13" max="13" width="2.140625" style="43" customWidth="1"/>
    <col min="14" max="14" width="13.140625" style="43" customWidth="1"/>
    <col min="15" max="15" width="3.140625" style="43" customWidth="1"/>
    <col min="16" max="16" width="1.7109375" style="393" customWidth="1"/>
    <col min="17" max="17" width="2.28515625" style="44" bestFit="1" customWidth="1"/>
    <col min="18" max="18" width="10.5703125" style="75" customWidth="1"/>
    <col min="19" max="19" width="5.85546875" style="43" customWidth="1"/>
    <col min="20" max="22" width="9.140625" style="43" customWidth="1"/>
    <col min="23" max="16384" width="9.140625" style="43"/>
  </cols>
  <sheetData>
    <row r="1" spans="1:30" s="1" customFormat="1" ht="18.75">
      <c r="A1" s="404" t="s">
        <v>236</v>
      </c>
      <c r="B1" s="403"/>
      <c r="C1" s="403"/>
      <c r="D1" s="403"/>
      <c r="E1" s="403"/>
      <c r="F1" s="403"/>
      <c r="G1" s="403"/>
      <c r="H1" s="403"/>
      <c r="I1" s="403"/>
      <c r="J1" s="406"/>
      <c r="K1" s="406"/>
      <c r="L1" s="406"/>
      <c r="M1" s="406"/>
      <c r="N1" s="403"/>
      <c r="O1" s="403"/>
      <c r="P1" s="403"/>
      <c r="Q1" s="403"/>
      <c r="R1" s="403"/>
      <c r="S1" s="110"/>
      <c r="T1" s="110"/>
      <c r="U1" s="110"/>
      <c r="V1" s="9"/>
      <c r="W1" s="118"/>
      <c r="X1" s="8"/>
      <c r="Y1" s="8"/>
      <c r="Z1" s="8"/>
      <c r="AA1" s="128"/>
      <c r="AB1" s="8"/>
      <c r="AC1" s="8"/>
      <c r="AD1" s="8"/>
    </row>
    <row r="2" spans="1:30" s="1" customFormat="1" ht="13.5" customHeight="1" thickBot="1">
      <c r="A2" s="192" t="s">
        <v>0</v>
      </c>
      <c r="B2" s="192"/>
      <c r="C2" s="192"/>
      <c r="D2" s="192"/>
      <c r="E2" s="192"/>
      <c r="F2" s="206"/>
      <c r="G2" s="206"/>
      <c r="H2" s="207"/>
      <c r="I2" s="192"/>
      <c r="J2" s="192"/>
      <c r="K2" s="192"/>
      <c r="L2" s="192"/>
      <c r="M2" s="192"/>
      <c r="N2" s="206"/>
      <c r="O2" s="207"/>
      <c r="P2" s="384"/>
      <c r="Q2" s="313"/>
      <c r="R2" s="314"/>
      <c r="S2" s="87"/>
      <c r="T2" s="87"/>
      <c r="U2" s="87"/>
      <c r="V2" s="20"/>
      <c r="W2" s="120"/>
      <c r="X2" s="8"/>
      <c r="Y2" s="8"/>
      <c r="Z2" s="8"/>
      <c r="AA2" s="128"/>
      <c r="AB2" s="8"/>
      <c r="AC2" s="8"/>
      <c r="AD2" s="8"/>
    </row>
    <row r="3" spans="1:30" s="1" customFormat="1" ht="11.25" customHeight="1">
      <c r="A3" s="352"/>
      <c r="B3" s="352"/>
      <c r="C3" s="352"/>
      <c r="D3" s="352"/>
      <c r="E3" s="352"/>
      <c r="F3" s="353"/>
      <c r="G3" s="353"/>
      <c r="H3" s="354"/>
      <c r="I3" s="352"/>
      <c r="J3" s="408"/>
      <c r="K3" s="408"/>
      <c r="L3" s="408"/>
      <c r="M3" s="408"/>
      <c r="N3" s="353"/>
      <c r="O3" s="354"/>
      <c r="P3" s="385"/>
      <c r="Q3" s="87"/>
      <c r="R3" s="132"/>
      <c r="S3" s="87"/>
      <c r="T3" s="87"/>
      <c r="U3" s="87"/>
      <c r="V3" s="20"/>
      <c r="W3" s="120"/>
      <c r="X3" s="8"/>
      <c r="Y3" s="8"/>
      <c r="Z3" s="8"/>
      <c r="AA3" s="128"/>
      <c r="AB3" s="8"/>
      <c r="AC3" s="8"/>
      <c r="AD3" s="8"/>
    </row>
    <row r="4" spans="1:30" s="1" customFormat="1" ht="11.25" customHeight="1">
      <c r="A4" s="352"/>
      <c r="B4" s="352"/>
      <c r="C4" s="352"/>
      <c r="D4" s="352"/>
      <c r="E4" s="352"/>
      <c r="F4" s="353"/>
      <c r="G4" s="353"/>
      <c r="H4" s="354"/>
      <c r="I4" s="352"/>
      <c r="J4" s="408"/>
      <c r="K4" s="408"/>
      <c r="L4" s="408"/>
      <c r="M4" s="408"/>
      <c r="N4" s="353"/>
      <c r="O4" s="354"/>
      <c r="P4" s="385"/>
      <c r="Q4" s="87"/>
      <c r="R4" s="132"/>
      <c r="S4" s="87"/>
      <c r="T4" s="87"/>
      <c r="U4" s="87"/>
      <c r="V4" s="20"/>
      <c r="W4" s="120"/>
      <c r="X4" s="8"/>
      <c r="Y4" s="8"/>
      <c r="Z4" s="8"/>
      <c r="AA4" s="128"/>
      <c r="AB4" s="8"/>
      <c r="AC4" s="8"/>
      <c r="AD4" s="8"/>
    </row>
    <row r="5" spans="1:30" s="1" customFormat="1" ht="14.25" customHeight="1" thickBot="1">
      <c r="A5" s="358" t="s">
        <v>185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386"/>
      <c r="Q5" s="87"/>
      <c r="R5" s="132"/>
      <c r="S5" s="87"/>
      <c r="T5" s="87"/>
      <c r="U5" s="87"/>
      <c r="V5" s="20"/>
      <c r="W5" s="120"/>
      <c r="X5" s="8"/>
      <c r="Y5" s="8"/>
      <c r="Z5" s="8"/>
      <c r="AA5" s="128"/>
      <c r="AB5" s="8"/>
      <c r="AC5" s="8"/>
      <c r="AD5" s="8"/>
    </row>
    <row r="6" spans="1:30" s="1" customFormat="1" ht="11.25" customHeight="1">
      <c r="A6" s="225"/>
      <c r="B6" s="225"/>
      <c r="C6" s="225"/>
      <c r="D6" s="225"/>
      <c r="E6" s="225"/>
      <c r="F6" s="529" t="s">
        <v>6</v>
      </c>
      <c r="G6" s="529"/>
      <c r="H6" s="529"/>
      <c r="I6" s="225"/>
      <c r="J6" s="530" t="s">
        <v>238</v>
      </c>
      <c r="K6" s="530"/>
      <c r="L6" s="530"/>
      <c r="M6" s="225"/>
      <c r="N6" s="397" t="s">
        <v>21</v>
      </c>
      <c r="O6" s="397"/>
      <c r="P6" s="387"/>
      <c r="Q6" s="87"/>
      <c r="R6" s="132"/>
      <c r="S6" s="87"/>
      <c r="T6" s="87"/>
      <c r="U6" s="87"/>
      <c r="V6" s="20"/>
      <c r="W6" s="120"/>
      <c r="X6" s="8"/>
      <c r="Y6" s="8"/>
      <c r="Z6" s="8"/>
      <c r="AA6" s="128"/>
      <c r="AB6" s="8"/>
      <c r="AC6" s="8"/>
      <c r="AD6" s="8"/>
    </row>
    <row r="7" spans="1:30" s="1" customFormat="1" ht="11.25" customHeight="1">
      <c r="A7" s="225"/>
      <c r="B7" s="225"/>
      <c r="C7" s="225"/>
      <c r="D7" s="225"/>
      <c r="E7" s="225"/>
      <c r="F7" s="527" t="s">
        <v>237</v>
      </c>
      <c r="G7" s="527"/>
      <c r="H7" s="527"/>
      <c r="I7" s="225"/>
      <c r="J7" s="525" t="s">
        <v>237</v>
      </c>
      <c r="K7" s="525"/>
      <c r="L7" s="525"/>
      <c r="M7" s="225"/>
      <c r="N7" s="396" t="s">
        <v>1</v>
      </c>
      <c r="O7" s="396"/>
      <c r="P7" s="387"/>
      <c r="Q7" s="87"/>
      <c r="R7" s="132"/>
      <c r="S7" s="87"/>
      <c r="T7" s="87"/>
      <c r="U7" s="87"/>
      <c r="V7" s="20"/>
      <c r="W7" s="120"/>
      <c r="X7" s="8"/>
      <c r="Y7" s="8"/>
      <c r="Z7" s="8"/>
      <c r="AA7" s="128"/>
      <c r="AB7" s="8"/>
      <c r="AC7" s="8"/>
      <c r="AD7" s="8"/>
    </row>
    <row r="8" spans="1:30" s="1" customFormat="1" ht="11.25" customHeight="1">
      <c r="A8" s="227" t="s">
        <v>186</v>
      </c>
      <c r="B8" s="228"/>
      <c r="C8" s="228"/>
      <c r="D8" s="228"/>
      <c r="E8" s="225"/>
      <c r="F8" s="295">
        <v>2016</v>
      </c>
      <c r="G8" s="229"/>
      <c r="H8" s="230">
        <v>2015</v>
      </c>
      <c r="I8" s="225"/>
      <c r="J8" s="409">
        <v>2016</v>
      </c>
      <c r="K8" s="225"/>
      <c r="L8" s="410">
        <v>2015</v>
      </c>
      <c r="M8" s="147"/>
      <c r="N8" s="230">
        <v>2015</v>
      </c>
      <c r="O8" s="229"/>
      <c r="P8" s="388"/>
      <c r="Q8" s="87"/>
      <c r="R8" s="132"/>
      <c r="S8" s="87"/>
      <c r="T8" s="87"/>
      <c r="U8" s="87"/>
      <c r="V8" s="20"/>
      <c r="W8" s="120"/>
      <c r="X8" s="8"/>
      <c r="Y8" s="8"/>
      <c r="Z8" s="8"/>
      <c r="AA8" s="128"/>
      <c r="AB8" s="8"/>
      <c r="AC8" s="8"/>
      <c r="AD8" s="8"/>
    </row>
    <row r="9" spans="1:30" s="1" customFormat="1" ht="11.25" customHeight="1">
      <c r="A9" s="226" t="s">
        <v>0</v>
      </c>
      <c r="B9" s="143" t="s">
        <v>187</v>
      </c>
      <c r="C9" s="143"/>
      <c r="D9" s="143"/>
      <c r="E9" s="225"/>
      <c r="F9" s="232">
        <f>F36</f>
        <v>183.03900000000002</v>
      </c>
      <c r="G9" s="169"/>
      <c r="H9" s="232">
        <v>255.8</v>
      </c>
      <c r="I9" s="225"/>
      <c r="J9" s="411">
        <f>203.1+F9</f>
        <v>386.13900000000001</v>
      </c>
      <c r="K9" s="225"/>
      <c r="L9" s="142">
        <v>506.9</v>
      </c>
      <c r="M9" s="225"/>
      <c r="N9" s="232">
        <v>961.9</v>
      </c>
      <c r="O9" s="169"/>
      <c r="P9" s="389"/>
      <c r="Q9" s="87"/>
      <c r="R9" s="132"/>
      <c r="S9" s="87"/>
      <c r="T9" s="87"/>
      <c r="U9" s="87"/>
      <c r="V9" s="20"/>
      <c r="W9" s="120"/>
      <c r="X9" s="8"/>
      <c r="Y9" s="8"/>
      <c r="Z9" s="8"/>
      <c r="AA9" s="128"/>
      <c r="AB9" s="8"/>
      <c r="AC9" s="8"/>
      <c r="AD9" s="8"/>
    </row>
    <row r="10" spans="1:30" s="1" customFormat="1" ht="11.25" customHeight="1">
      <c r="A10" s="226"/>
      <c r="B10" s="363" t="s">
        <v>202</v>
      </c>
      <c r="C10" s="142"/>
      <c r="D10" s="142"/>
      <c r="E10" s="225"/>
      <c r="F10" s="365">
        <f>'IS &amp; OCI'!F7-SUM('IS &amp; OCI'!F9:F11)</f>
        <v>68.822000000000017</v>
      </c>
      <c r="G10" s="231"/>
      <c r="H10" s="232">
        <v>125.1</v>
      </c>
      <c r="I10" s="225"/>
      <c r="J10" s="365">
        <f>'IS &amp; OCI'!J7-SUM('IS &amp; OCI'!J9:J11)</f>
        <v>147.50399999999996</v>
      </c>
      <c r="K10" s="225"/>
      <c r="L10" s="142">
        <v>252.6</v>
      </c>
      <c r="M10" s="225"/>
      <c r="N10" s="232">
        <v>484.4</v>
      </c>
      <c r="O10" s="231"/>
      <c r="P10" s="365"/>
      <c r="Q10" s="87"/>
      <c r="R10" s="132"/>
      <c r="S10" s="87"/>
      <c r="T10" s="87"/>
      <c r="U10" s="87"/>
      <c r="V10" s="20"/>
      <c r="W10" s="120"/>
      <c r="X10" s="8"/>
      <c r="Y10" s="8"/>
      <c r="Z10" s="8"/>
      <c r="AA10" s="128"/>
      <c r="AB10" s="8"/>
      <c r="AC10" s="8"/>
      <c r="AD10" s="8"/>
    </row>
    <row r="11" spans="1:30" s="1" customFormat="1" ht="11.25" customHeight="1">
      <c r="A11" s="226"/>
      <c r="B11" s="143" t="s">
        <v>230</v>
      </c>
      <c r="C11" s="143"/>
      <c r="D11" s="143"/>
      <c r="E11" s="225"/>
      <c r="F11" s="365">
        <f>'IS &amp; OCI'!F16+'IS &amp; OCI'!F14+'IS &amp; OCI'!F13</f>
        <v>-36.195999999999984</v>
      </c>
      <c r="G11" s="374"/>
      <c r="H11" s="232">
        <v>15.9</v>
      </c>
      <c r="I11" s="361"/>
      <c r="J11" s="411">
        <f>'IS &amp; OCI'!J16+'IS &amp; OCI'!J14+'IS &amp; OCI'!J13</f>
        <v>-66.293000000000035</v>
      </c>
      <c r="K11" s="361"/>
      <c r="L11" s="363">
        <v>29.5</v>
      </c>
      <c r="M11" s="361"/>
      <c r="N11" s="232">
        <f>'IS &amp; OCI'!N16+'IS &amp; OCI'!N13+'IS &amp; OCI'!N14</f>
        <v>15.800000000000011</v>
      </c>
      <c r="O11" s="374"/>
      <c r="P11" s="390"/>
      <c r="Q11" s="87"/>
      <c r="R11" s="132"/>
      <c r="S11" s="87"/>
      <c r="T11" s="87"/>
      <c r="U11" s="87"/>
      <c r="V11" s="20"/>
      <c r="W11" s="120"/>
      <c r="X11" s="8"/>
      <c r="Y11" s="8"/>
      <c r="Z11" s="8"/>
      <c r="AA11" s="128"/>
      <c r="AB11" s="8"/>
      <c r="AC11" s="8"/>
      <c r="AD11" s="8"/>
    </row>
    <row r="12" spans="1:30" s="1" customFormat="1" ht="11.25" customHeight="1">
      <c r="A12" s="225"/>
      <c r="B12" s="142" t="s">
        <v>188</v>
      </c>
      <c r="C12" s="142"/>
      <c r="D12" s="142"/>
      <c r="E12" s="225"/>
      <c r="F12" s="365">
        <f>'IS &amp; OCI'!F16</f>
        <v>-44.591999999999985</v>
      </c>
      <c r="G12" s="233"/>
      <c r="H12" s="232">
        <v>-45.7</v>
      </c>
      <c r="I12" s="225"/>
      <c r="J12" s="411">
        <f>-31.6+F12+0.1</f>
        <v>-76.091999999999985</v>
      </c>
      <c r="K12" s="225"/>
      <c r="L12" s="232">
        <v>-34.799999999999997</v>
      </c>
      <c r="M12" s="225"/>
      <c r="N12" s="232">
        <v>-430.4</v>
      </c>
      <c r="O12" s="233"/>
      <c r="P12" s="390"/>
      <c r="Q12" s="87"/>
      <c r="R12" s="132"/>
      <c r="S12" s="87"/>
      <c r="T12" s="87"/>
      <c r="U12" s="87"/>
      <c r="V12" s="20"/>
      <c r="W12" s="120"/>
      <c r="X12" s="8"/>
      <c r="Y12" s="8"/>
      <c r="Z12" s="8"/>
      <c r="AA12" s="128"/>
      <c r="AB12" s="8"/>
      <c r="AC12" s="8"/>
      <c r="AD12" s="8"/>
    </row>
    <row r="13" spans="1:30" s="1" customFormat="1" ht="11.25" customHeight="1">
      <c r="A13" s="394"/>
      <c r="B13" s="142" t="s">
        <v>227</v>
      </c>
      <c r="C13" s="142"/>
      <c r="D13" s="142"/>
      <c r="E13" s="225"/>
      <c r="F13" s="365">
        <f>'IS &amp; OCI'!F20</f>
        <v>-57.665999999999983</v>
      </c>
      <c r="G13" s="233"/>
      <c r="H13" s="232">
        <v>-57.9</v>
      </c>
      <c r="I13" s="225"/>
      <c r="J13" s="411">
        <f>-62.2+F13+0.3</f>
        <v>-119.56599999999999</v>
      </c>
      <c r="K13" s="225"/>
      <c r="L13" s="232">
        <v>-67.900000000000006</v>
      </c>
      <c r="M13" s="225"/>
      <c r="N13" s="232">
        <v>-505.5</v>
      </c>
      <c r="O13" s="233"/>
      <c r="P13" s="390"/>
      <c r="Q13" s="87"/>
      <c r="R13" s="132"/>
      <c r="S13" s="87"/>
      <c r="T13" s="87"/>
      <c r="U13" s="87"/>
      <c r="V13" s="20"/>
      <c r="W13" s="120"/>
      <c r="X13" s="8"/>
      <c r="Y13" s="8"/>
      <c r="Z13" s="8"/>
      <c r="AA13" s="128"/>
      <c r="AB13" s="8"/>
      <c r="AC13" s="8"/>
      <c r="AD13" s="8"/>
    </row>
    <row r="14" spans="1:30" s="1" customFormat="1" ht="11.25" customHeight="1">
      <c r="A14" s="225"/>
      <c r="B14" s="142" t="s">
        <v>229</v>
      </c>
      <c r="C14" s="142"/>
      <c r="D14" s="142"/>
      <c r="E14" s="225"/>
      <c r="F14" s="365">
        <f>'IS &amp; OCI'!F22</f>
        <v>-51.765999999999984</v>
      </c>
      <c r="G14" s="233"/>
      <c r="H14" s="232">
        <v>-63.8</v>
      </c>
      <c r="I14" s="225"/>
      <c r="J14" s="411">
        <f>-57.1+F14+0.2</f>
        <v>-108.66599999999998</v>
      </c>
      <c r="K14" s="225"/>
      <c r="L14" s="232">
        <v>-83.3</v>
      </c>
      <c r="M14" s="225"/>
      <c r="N14" s="232">
        <v>-527.9</v>
      </c>
      <c r="O14" s="233"/>
      <c r="P14" s="390"/>
      <c r="Q14" s="87"/>
      <c r="R14" s="132"/>
      <c r="S14" s="87"/>
      <c r="T14" s="87"/>
      <c r="U14" s="87"/>
      <c r="V14" s="20"/>
      <c r="W14" s="120"/>
      <c r="X14" s="8"/>
      <c r="Y14" s="8"/>
      <c r="Z14" s="8"/>
      <c r="AA14" s="128"/>
      <c r="AB14" s="8"/>
      <c r="AC14" s="8"/>
      <c r="AD14" s="8"/>
    </row>
    <row r="15" spans="1:30" s="1" customFormat="1" ht="11.25" customHeight="1">
      <c r="A15" s="225"/>
      <c r="B15" s="142" t="s">
        <v>189</v>
      </c>
      <c r="C15" s="142"/>
      <c r="D15" s="142"/>
      <c r="E15" s="225"/>
      <c r="F15" s="372">
        <f>F213</f>
        <v>-0.22</v>
      </c>
      <c r="G15" s="357"/>
      <c r="H15" s="399">
        <v>-0.3</v>
      </c>
      <c r="I15" s="225"/>
      <c r="J15" s="416">
        <f>-0.24+F15</f>
        <v>-0.45999999999999996</v>
      </c>
      <c r="K15" s="225"/>
      <c r="L15" s="399">
        <v>-0.39</v>
      </c>
      <c r="M15" s="225"/>
      <c r="N15" s="399">
        <v>-2.4300000000000002</v>
      </c>
      <c r="O15" s="357"/>
      <c r="P15" s="391"/>
      <c r="Q15" s="87"/>
      <c r="R15" s="132"/>
      <c r="S15" s="87"/>
      <c r="T15" s="87"/>
      <c r="U15" s="87"/>
      <c r="V15" s="20"/>
      <c r="W15" s="120"/>
      <c r="X15" s="8"/>
      <c r="Y15" s="8"/>
      <c r="Z15" s="8"/>
      <c r="AA15" s="128"/>
      <c r="AB15" s="8"/>
      <c r="AC15" s="8"/>
      <c r="AD15" s="8"/>
    </row>
    <row r="16" spans="1:30" s="1" customFormat="1" ht="11.25" customHeight="1">
      <c r="A16" s="225"/>
      <c r="B16" s="142" t="s">
        <v>175</v>
      </c>
      <c r="C16" s="142"/>
      <c r="D16" s="142"/>
      <c r="E16" s="225"/>
      <c r="F16" s="365">
        <f>CF!F18</f>
        <v>42.361000000000011</v>
      </c>
      <c r="G16" s="233"/>
      <c r="H16" s="232">
        <v>83.1</v>
      </c>
      <c r="I16" s="225"/>
      <c r="J16" s="411">
        <f>133.3+F16+0.1</f>
        <v>175.76100000000002</v>
      </c>
      <c r="K16" s="225"/>
      <c r="L16" s="142">
        <v>295.39999999999998</v>
      </c>
      <c r="M16" s="225"/>
      <c r="N16" s="232">
        <v>487.9</v>
      </c>
      <c r="O16" s="233"/>
      <c r="P16" s="390"/>
      <c r="Q16" s="87"/>
      <c r="R16" s="132"/>
      <c r="S16" s="87"/>
      <c r="T16" s="87"/>
      <c r="U16" s="87"/>
      <c r="V16" s="20"/>
      <c r="W16" s="120"/>
      <c r="X16" s="8"/>
      <c r="Y16" s="8"/>
      <c r="Z16" s="8"/>
      <c r="AA16" s="128"/>
      <c r="AB16" s="8"/>
      <c r="AC16" s="8"/>
      <c r="AD16" s="8"/>
    </row>
    <row r="17" spans="1:30" s="1" customFormat="1" ht="11.25" customHeight="1">
      <c r="A17" s="225"/>
      <c r="B17" s="142" t="s">
        <v>190</v>
      </c>
      <c r="C17" s="142"/>
      <c r="D17" s="142"/>
      <c r="E17" s="225"/>
      <c r="F17" s="232">
        <f>-CF!F19</f>
        <v>41.8</v>
      </c>
      <c r="G17" s="233"/>
      <c r="H17" s="232">
        <v>73.599999999999994</v>
      </c>
      <c r="I17" s="225"/>
      <c r="J17" s="412">
        <f>48.3+F17</f>
        <v>90.1</v>
      </c>
      <c r="K17" s="225"/>
      <c r="L17" s="142">
        <v>137.6</v>
      </c>
      <c r="M17" s="225"/>
      <c r="N17" s="232">
        <v>303.3</v>
      </c>
      <c r="O17" s="233"/>
      <c r="P17" s="390"/>
      <c r="Q17" s="87"/>
      <c r="R17" s="132"/>
      <c r="S17" s="87"/>
      <c r="T17" s="87"/>
      <c r="U17" s="87"/>
      <c r="V17" s="20"/>
      <c r="W17" s="120"/>
      <c r="X17" s="8"/>
      <c r="Y17" s="8"/>
      <c r="Z17" s="8"/>
      <c r="AA17" s="128"/>
      <c r="AB17" s="8"/>
      <c r="AC17" s="8"/>
      <c r="AD17" s="8"/>
    </row>
    <row r="18" spans="1:30" s="1" customFormat="1" ht="11.25" customHeight="1">
      <c r="A18" s="225"/>
      <c r="B18" s="142" t="s">
        <v>191</v>
      </c>
      <c r="C18" s="142"/>
      <c r="D18" s="142"/>
      <c r="E18" s="225"/>
      <c r="F18" s="365">
        <f>F131</f>
        <v>51.900000000000006</v>
      </c>
      <c r="G18" s="374"/>
      <c r="H18" s="232">
        <v>63.3</v>
      </c>
      <c r="I18" s="361"/>
      <c r="J18" s="412">
        <f>108.9+F18+0.1</f>
        <v>160.9</v>
      </c>
      <c r="K18" s="361"/>
      <c r="L18" s="363">
        <v>104.8</v>
      </c>
      <c r="M18" s="361"/>
      <c r="N18" s="232">
        <v>165.7</v>
      </c>
      <c r="O18" s="233"/>
      <c r="P18" s="390"/>
      <c r="Q18" s="87"/>
      <c r="R18" s="132"/>
      <c r="S18" s="87"/>
      <c r="T18" s="87"/>
      <c r="U18" s="87"/>
      <c r="V18" s="20"/>
      <c r="W18" s="120"/>
      <c r="X18" s="8"/>
      <c r="Y18" s="8"/>
      <c r="Z18" s="8"/>
      <c r="AA18" s="128"/>
      <c r="AB18" s="8"/>
      <c r="AC18" s="8"/>
      <c r="AD18" s="8"/>
    </row>
    <row r="19" spans="1:30" s="1" customFormat="1" ht="11.25" customHeight="1">
      <c r="A19" s="225"/>
      <c r="B19" s="142" t="s">
        <v>192</v>
      </c>
      <c r="C19" s="142"/>
      <c r="D19" s="142"/>
      <c r="E19" s="225"/>
      <c r="F19" s="232">
        <f>BS!G21</f>
        <v>2970.335</v>
      </c>
      <c r="G19" s="233"/>
      <c r="H19" s="232">
        <v>3297.4</v>
      </c>
      <c r="I19" s="225"/>
      <c r="J19" s="411">
        <f>F19</f>
        <v>2970.335</v>
      </c>
      <c r="K19" s="225"/>
      <c r="L19" s="142">
        <v>3297.4</v>
      </c>
      <c r="M19" s="225"/>
      <c r="N19" s="232">
        <v>2914.1</v>
      </c>
      <c r="O19" s="233"/>
      <c r="P19" s="390"/>
      <c r="Q19" s="87"/>
      <c r="R19" s="132"/>
      <c r="S19" s="87"/>
      <c r="T19" s="87"/>
      <c r="U19" s="87"/>
      <c r="V19" s="20"/>
      <c r="W19" s="120"/>
      <c r="X19" s="8"/>
      <c r="Y19" s="8"/>
      <c r="Z19" s="8"/>
      <c r="AA19" s="128"/>
      <c r="AB19" s="8"/>
      <c r="AC19" s="8"/>
      <c r="AD19" s="8"/>
    </row>
    <row r="20" spans="1:30" s="1" customFormat="1" ht="11.25" customHeight="1">
      <c r="A20" s="225"/>
      <c r="B20" s="142" t="s">
        <v>2</v>
      </c>
      <c r="C20" s="142"/>
      <c r="D20" s="142"/>
      <c r="E20" s="225"/>
      <c r="F20" s="232">
        <f>BS!G7</f>
        <v>49.661999999999999</v>
      </c>
      <c r="G20" s="233"/>
      <c r="H20" s="232">
        <v>57.6</v>
      </c>
      <c r="I20" s="225"/>
      <c r="J20" s="411">
        <f>F20</f>
        <v>49.661999999999999</v>
      </c>
      <c r="K20" s="225"/>
      <c r="L20" s="142">
        <v>57.6</v>
      </c>
      <c r="M20" s="225"/>
      <c r="N20" s="232">
        <v>81.599999999999994</v>
      </c>
      <c r="O20" s="233"/>
      <c r="P20" s="390"/>
      <c r="Q20" s="87"/>
      <c r="R20" s="132"/>
      <c r="S20" s="87"/>
      <c r="T20" s="87"/>
      <c r="U20" s="87"/>
      <c r="V20" s="20"/>
      <c r="W20" s="120"/>
      <c r="X20" s="8"/>
      <c r="Y20" s="8"/>
      <c r="Z20" s="8"/>
      <c r="AA20" s="128"/>
      <c r="AB20" s="8"/>
      <c r="AC20" s="8"/>
      <c r="AD20" s="8"/>
    </row>
    <row r="21" spans="1:30" s="1" customFormat="1" ht="11.25" customHeight="1">
      <c r="A21" s="228"/>
      <c r="B21" s="144" t="s">
        <v>193</v>
      </c>
      <c r="C21" s="144"/>
      <c r="D21" s="144"/>
      <c r="E21" s="228"/>
      <c r="F21" s="377">
        <f>-F204</f>
        <v>1207.5999999999999</v>
      </c>
      <c r="G21" s="359"/>
      <c r="H21" s="234">
        <v>995</v>
      </c>
      <c r="I21" s="228"/>
      <c r="J21" s="417">
        <f>F21</f>
        <v>1207.5999999999999</v>
      </c>
      <c r="K21" s="228"/>
      <c r="L21" s="234">
        <v>995</v>
      </c>
      <c r="M21" s="228"/>
      <c r="N21" s="234">
        <v>994.2</v>
      </c>
      <c r="O21" s="359"/>
      <c r="P21" s="377"/>
      <c r="Q21" s="87"/>
      <c r="R21" s="132"/>
      <c r="S21" s="87"/>
      <c r="T21" s="87"/>
      <c r="U21" s="87"/>
      <c r="V21" s="20"/>
      <c r="W21" s="120"/>
      <c r="X21" s="8"/>
      <c r="Y21" s="8"/>
      <c r="Z21" s="8"/>
      <c r="AA21" s="128"/>
      <c r="AB21" s="8"/>
      <c r="AC21" s="8"/>
      <c r="AD21" s="8"/>
    </row>
    <row r="22" spans="1:30" s="7" customFormat="1" ht="11.25" customHeight="1">
      <c r="A22" s="438"/>
      <c r="B22" s="438"/>
      <c r="C22" s="438"/>
      <c r="D22" s="438"/>
      <c r="E22" s="438"/>
      <c r="F22" s="354"/>
      <c r="G22" s="354"/>
      <c r="H22" s="354"/>
      <c r="I22" s="438"/>
      <c r="J22" s="438"/>
      <c r="K22" s="438"/>
      <c r="L22" s="438"/>
      <c r="M22" s="438"/>
      <c r="N22" s="354"/>
      <c r="O22" s="354"/>
      <c r="P22" s="354"/>
      <c r="Q22" s="87"/>
      <c r="R22" s="492"/>
      <c r="S22" s="87"/>
      <c r="T22" s="87"/>
      <c r="U22" s="87"/>
      <c r="V22" s="20"/>
      <c r="W22" s="120"/>
      <c r="X22" s="355"/>
      <c r="Y22" s="355"/>
      <c r="Z22" s="355"/>
      <c r="AA22" s="356"/>
      <c r="AB22" s="355"/>
      <c r="AC22" s="355"/>
      <c r="AD22" s="355"/>
    </row>
    <row r="23" spans="1:30" s="45" customFormat="1" ht="12.75" customHeight="1">
      <c r="A23" s="439"/>
      <c r="B23" s="440"/>
      <c r="C23" s="440"/>
      <c r="D23" s="440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493"/>
      <c r="R23" s="494"/>
      <c r="S23" s="495"/>
      <c r="T23" s="495"/>
      <c r="U23" s="84"/>
      <c r="V23" s="84"/>
      <c r="W23" s="83"/>
    </row>
    <row r="24" spans="1:30" s="45" customFormat="1" ht="15" customHeight="1">
      <c r="A24" s="441" t="s">
        <v>183</v>
      </c>
      <c r="B24" s="440"/>
      <c r="C24" s="440"/>
      <c r="D24" s="440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493"/>
      <c r="R24" s="494"/>
      <c r="S24" s="495"/>
      <c r="T24" s="495"/>
      <c r="U24" s="84"/>
      <c r="V24" s="84"/>
      <c r="W24" s="83"/>
    </row>
    <row r="25" spans="1:30" s="45" customFormat="1" ht="18" customHeight="1">
      <c r="A25" s="143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493"/>
      <c r="R25" s="494"/>
      <c r="S25" s="495"/>
      <c r="T25" s="495"/>
      <c r="U25" s="84"/>
      <c r="V25" s="84"/>
      <c r="W25" s="83"/>
    </row>
    <row r="26" spans="1:30" s="63" customFormat="1" ht="11.45" customHeight="1" thickBot="1">
      <c r="A26" s="224" t="s">
        <v>133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142"/>
      <c r="R26" s="496"/>
      <c r="S26" s="53"/>
    </row>
    <row r="27" spans="1:30" s="80" customFormat="1" ht="11.45" customHeight="1">
      <c r="A27" s="225"/>
      <c r="B27" s="225"/>
      <c r="C27" s="225"/>
      <c r="D27" s="225"/>
      <c r="E27" s="225"/>
      <c r="F27" s="526" t="s">
        <v>6</v>
      </c>
      <c r="G27" s="526"/>
      <c r="H27" s="526"/>
      <c r="I27" s="225"/>
      <c r="J27" s="530" t="s">
        <v>238</v>
      </c>
      <c r="K27" s="530"/>
      <c r="L27" s="530"/>
      <c r="M27" s="225"/>
      <c r="N27" s="442" t="s">
        <v>21</v>
      </c>
      <c r="O27" s="443"/>
      <c r="P27" s="442"/>
      <c r="Q27" s="478"/>
      <c r="R27" s="225"/>
    </row>
    <row r="28" spans="1:30" s="80" customFormat="1" ht="11.45" customHeight="1">
      <c r="A28" s="225"/>
      <c r="B28" s="225"/>
      <c r="C28" s="225"/>
      <c r="D28" s="225"/>
      <c r="E28" s="225"/>
      <c r="F28" s="527" t="s">
        <v>237</v>
      </c>
      <c r="G28" s="527"/>
      <c r="H28" s="527"/>
      <c r="I28" s="225"/>
      <c r="J28" s="525" t="s">
        <v>237</v>
      </c>
      <c r="K28" s="525"/>
      <c r="L28" s="525"/>
      <c r="M28" s="225"/>
      <c r="N28" s="437" t="s">
        <v>1</v>
      </c>
      <c r="O28" s="437"/>
      <c r="P28" s="442"/>
      <c r="Q28" s="478"/>
      <c r="R28" s="225"/>
    </row>
    <row r="29" spans="1:30" s="80" customFormat="1" ht="11.45" customHeight="1">
      <c r="A29" s="227" t="s">
        <v>107</v>
      </c>
      <c r="B29" s="228"/>
      <c r="C29" s="228"/>
      <c r="D29" s="228"/>
      <c r="E29" s="225"/>
      <c r="F29" s="295">
        <v>2016</v>
      </c>
      <c r="G29" s="229"/>
      <c r="H29" s="230">
        <v>2015</v>
      </c>
      <c r="I29" s="225"/>
      <c r="J29" s="410">
        <v>2016</v>
      </c>
      <c r="K29" s="225"/>
      <c r="L29" s="410">
        <v>2015</v>
      </c>
      <c r="M29" s="147"/>
      <c r="N29" s="230">
        <v>2015</v>
      </c>
      <c r="O29" s="229"/>
      <c r="P29" s="484"/>
      <c r="Q29" s="225"/>
      <c r="R29" s="226"/>
    </row>
    <row r="30" spans="1:30" s="80" customFormat="1" ht="11.45" customHeight="1">
      <c r="A30" s="226" t="s">
        <v>0</v>
      </c>
      <c r="B30" s="143" t="s">
        <v>81</v>
      </c>
      <c r="C30" s="143"/>
      <c r="D30" s="143"/>
      <c r="E30" s="225"/>
      <c r="F30" s="169" t="s">
        <v>0</v>
      </c>
      <c r="G30" s="169"/>
      <c r="H30" s="169" t="s">
        <v>0</v>
      </c>
      <c r="I30" s="225"/>
      <c r="J30" s="225"/>
      <c r="K30" s="225"/>
      <c r="L30" s="225"/>
      <c r="M30" s="225"/>
      <c r="N30" s="169" t="s">
        <v>0</v>
      </c>
      <c r="O30" s="169"/>
      <c r="P30" s="169"/>
      <c r="Q30" s="225"/>
      <c r="R30" s="226"/>
    </row>
    <row r="31" spans="1:30" s="80" customFormat="1" ht="11.45" customHeight="1">
      <c r="A31" s="226"/>
      <c r="B31" s="142" t="s">
        <v>80</v>
      </c>
      <c r="C31" s="142"/>
      <c r="D31" s="142"/>
      <c r="E31" s="225"/>
      <c r="F31" s="232">
        <v>69.938999999999993</v>
      </c>
      <c r="G31" s="231"/>
      <c r="H31" s="232">
        <v>84.4</v>
      </c>
      <c r="I31" s="225"/>
      <c r="J31" s="411">
        <f>59.2+F31</f>
        <v>129.13900000000001</v>
      </c>
      <c r="K31" s="142"/>
      <c r="L31" s="142">
        <v>153.19999999999999</v>
      </c>
      <c r="M31" s="225"/>
      <c r="N31" s="232">
        <v>274</v>
      </c>
      <c r="O31" s="231"/>
      <c r="P31" s="232"/>
      <c r="Q31" s="225"/>
      <c r="R31" s="226"/>
      <c r="S31" s="107"/>
      <c r="T31" s="497"/>
      <c r="U31" s="81"/>
      <c r="V31" s="76"/>
    </row>
    <row r="32" spans="1:30" s="80" customFormat="1" ht="11.45" customHeight="1">
      <c r="A32" s="226"/>
      <c r="B32" s="143" t="s">
        <v>79</v>
      </c>
      <c r="C32" s="143"/>
      <c r="D32" s="143"/>
      <c r="E32" s="225"/>
      <c r="F32" s="232">
        <v>47.161999999999999</v>
      </c>
      <c r="G32" s="233"/>
      <c r="H32" s="444">
        <v>112</v>
      </c>
      <c r="I32" s="225"/>
      <c r="J32" s="411">
        <f>59.9+F32</f>
        <v>107.062</v>
      </c>
      <c r="K32" s="142"/>
      <c r="L32" s="142">
        <v>198.6</v>
      </c>
      <c r="M32" s="225"/>
      <c r="N32" s="444">
        <v>380.4</v>
      </c>
      <c r="O32" s="233"/>
      <c r="P32" s="444"/>
      <c r="Q32" s="225"/>
      <c r="R32" s="226"/>
      <c r="S32" s="107"/>
      <c r="T32" s="497"/>
      <c r="U32" s="81"/>
      <c r="V32" s="76"/>
    </row>
    <row r="33" spans="1:26" s="80" customFormat="1" ht="11.45" customHeight="1">
      <c r="A33" s="225"/>
      <c r="B33" s="142" t="s">
        <v>78</v>
      </c>
      <c r="C33" s="142"/>
      <c r="D33" s="142"/>
      <c r="E33" s="225"/>
      <c r="F33" s="444">
        <v>45.97</v>
      </c>
      <c r="G33" s="233"/>
      <c r="H33" s="444">
        <v>33.5</v>
      </c>
      <c r="I33" s="225"/>
      <c r="J33" s="412">
        <f>65.3+F33</f>
        <v>111.27</v>
      </c>
      <c r="K33" s="142"/>
      <c r="L33" s="142">
        <v>90.2</v>
      </c>
      <c r="M33" s="225"/>
      <c r="N33" s="444">
        <v>194.3</v>
      </c>
      <c r="O33" s="233"/>
      <c r="P33" s="444"/>
      <c r="Q33" s="225"/>
      <c r="R33" s="226"/>
      <c r="S33" s="107"/>
      <c r="T33" s="497"/>
      <c r="U33" s="81"/>
      <c r="V33" s="76"/>
    </row>
    <row r="34" spans="1:26" s="80" customFormat="1" ht="11.45" customHeight="1">
      <c r="A34" s="225"/>
      <c r="B34" s="142" t="s">
        <v>125</v>
      </c>
      <c r="C34" s="142"/>
      <c r="D34" s="142"/>
      <c r="E34" s="225"/>
      <c r="F34" s="444">
        <v>17.878</v>
      </c>
      <c r="G34" s="233"/>
      <c r="H34" s="444">
        <v>23.5</v>
      </c>
      <c r="I34" s="225"/>
      <c r="J34" s="412">
        <f>16.6+F34</f>
        <v>34.478000000000002</v>
      </c>
      <c r="K34" s="142"/>
      <c r="L34" s="142">
        <v>53.8</v>
      </c>
      <c r="M34" s="225"/>
      <c r="N34" s="444">
        <v>93.7</v>
      </c>
      <c r="O34" s="233"/>
      <c r="P34" s="444"/>
      <c r="Q34" s="225"/>
      <c r="R34" s="226"/>
      <c r="S34" s="107"/>
      <c r="T34" s="497"/>
      <c r="U34" s="81"/>
      <c r="V34" s="76"/>
    </row>
    <row r="35" spans="1:26" s="80" customFormat="1" ht="11.45" customHeight="1">
      <c r="A35" s="228"/>
      <c r="B35" s="144" t="s">
        <v>77</v>
      </c>
      <c r="C35" s="144"/>
      <c r="D35" s="144"/>
      <c r="E35" s="225"/>
      <c r="F35" s="234">
        <v>2.09</v>
      </c>
      <c r="G35" s="233"/>
      <c r="H35" s="234">
        <v>2.4</v>
      </c>
      <c r="I35" s="225"/>
      <c r="J35" s="445">
        <f>2.1+F35</f>
        <v>4.1899999999999995</v>
      </c>
      <c r="K35" s="142"/>
      <c r="L35" s="144">
        <v>11.1</v>
      </c>
      <c r="M35" s="225"/>
      <c r="N35" s="234">
        <v>19.600000000000001</v>
      </c>
      <c r="O35" s="233"/>
      <c r="P35" s="444"/>
      <c r="Q35" s="225"/>
      <c r="R35" s="226"/>
      <c r="S35" s="107"/>
      <c r="T35" s="497"/>
      <c r="U35" s="81"/>
    </row>
    <row r="36" spans="1:26" s="306" customFormat="1" ht="11.45" customHeight="1">
      <c r="A36" s="446"/>
      <c r="B36" s="447" t="s">
        <v>176</v>
      </c>
      <c r="C36" s="447"/>
      <c r="D36" s="447"/>
      <c r="E36" s="448"/>
      <c r="F36" s="449">
        <f>SUM(F31:F35)</f>
        <v>183.03900000000002</v>
      </c>
      <c r="G36" s="450"/>
      <c r="H36" s="449">
        <f>SUM(H31:H35)</f>
        <v>255.8</v>
      </c>
      <c r="I36" s="448"/>
      <c r="J36" s="449">
        <f>SUM(J31:J35)</f>
        <v>386.13900000000001</v>
      </c>
      <c r="K36" s="141"/>
      <c r="L36" s="449">
        <f>SUM(L31:L35)</f>
        <v>506.9</v>
      </c>
      <c r="M36" s="448"/>
      <c r="N36" s="449">
        <f>SUM(N31:N35)-0.1</f>
        <v>961.90000000000009</v>
      </c>
      <c r="O36" s="450"/>
      <c r="P36" s="498"/>
      <c r="Q36" s="448"/>
      <c r="R36" s="448"/>
      <c r="S36" s="499"/>
      <c r="T36" s="500"/>
      <c r="U36" s="304"/>
      <c r="V36" s="305"/>
    </row>
    <row r="37" spans="1:26" s="80" customFormat="1" ht="11.45" customHeight="1">
      <c r="A37" s="225"/>
      <c r="B37" s="225"/>
      <c r="C37" s="225"/>
      <c r="D37" s="225"/>
      <c r="E37" s="225"/>
      <c r="F37" s="235"/>
      <c r="G37" s="236"/>
      <c r="H37" s="237"/>
      <c r="I37" s="225"/>
      <c r="J37" s="225"/>
      <c r="K37" s="225"/>
      <c r="L37" s="225"/>
      <c r="M37" s="225"/>
      <c r="N37" s="237"/>
      <c r="O37" s="236"/>
      <c r="P37" s="237"/>
      <c r="Q37" s="237"/>
      <c r="R37" s="237"/>
      <c r="S37" s="82"/>
      <c r="V37" s="76"/>
    </row>
    <row r="38" spans="1:26" s="80" customFormat="1" ht="11.45" customHeight="1" thickBot="1">
      <c r="A38" s="224" t="s">
        <v>209</v>
      </c>
      <c r="B38" s="224"/>
      <c r="C38" s="224"/>
      <c r="D38" s="224"/>
      <c r="E38" s="224"/>
      <c r="F38" s="451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142"/>
      <c r="R38" s="496"/>
      <c r="S38" s="53"/>
      <c r="V38" s="76"/>
    </row>
    <row r="39" spans="1:26" s="80" customFormat="1" ht="11.45" customHeight="1">
      <c r="A39" s="225"/>
      <c r="B39" s="225"/>
      <c r="C39" s="225"/>
      <c r="D39" s="225"/>
      <c r="E39" s="225"/>
      <c r="F39" s="526" t="s">
        <v>6</v>
      </c>
      <c r="G39" s="526"/>
      <c r="H39" s="526"/>
      <c r="I39" s="225"/>
      <c r="J39" s="530" t="s">
        <v>238</v>
      </c>
      <c r="K39" s="530"/>
      <c r="L39" s="530"/>
      <c r="M39" s="225"/>
      <c r="N39" s="442" t="s">
        <v>21</v>
      </c>
      <c r="O39" s="443"/>
      <c r="P39" s="442"/>
      <c r="Q39" s="478"/>
      <c r="R39" s="225"/>
    </row>
    <row r="40" spans="1:26" s="80" customFormat="1" ht="11.45" customHeight="1">
      <c r="A40" s="225"/>
      <c r="B40" s="225"/>
      <c r="C40" s="225"/>
      <c r="D40" s="225"/>
      <c r="E40" s="225"/>
      <c r="F40" s="527" t="s">
        <v>237</v>
      </c>
      <c r="G40" s="527"/>
      <c r="H40" s="527"/>
      <c r="I40" s="225"/>
      <c r="J40" s="525" t="s">
        <v>237</v>
      </c>
      <c r="K40" s="525"/>
      <c r="L40" s="525"/>
      <c r="M40" s="225"/>
      <c r="N40" s="437" t="s">
        <v>1</v>
      </c>
      <c r="O40" s="437"/>
      <c r="P40" s="442"/>
      <c r="Q40" s="478"/>
      <c r="R40" s="225"/>
    </row>
    <row r="41" spans="1:26" s="80" customFormat="1" ht="11.45" customHeight="1">
      <c r="A41" s="227" t="s">
        <v>0</v>
      </c>
      <c r="B41" s="228"/>
      <c r="C41" s="228"/>
      <c r="D41" s="228"/>
      <c r="E41" s="225"/>
      <c r="F41" s="295">
        <v>2016</v>
      </c>
      <c r="G41" s="229"/>
      <c r="H41" s="230">
        <v>2015</v>
      </c>
      <c r="I41" s="225"/>
      <c r="J41" s="410">
        <v>2016</v>
      </c>
      <c r="K41" s="225"/>
      <c r="L41" s="410">
        <v>2015</v>
      </c>
      <c r="M41" s="225"/>
      <c r="N41" s="230">
        <v>2015</v>
      </c>
      <c r="O41" s="229"/>
      <c r="P41" s="484"/>
      <c r="Q41" s="225"/>
      <c r="R41" s="226"/>
      <c r="V41" s="76"/>
    </row>
    <row r="42" spans="1:26" s="45" customFormat="1" ht="11.45" customHeight="1">
      <c r="A42" s="226" t="s">
        <v>0</v>
      </c>
      <c r="B42" s="143" t="s">
        <v>162</v>
      </c>
      <c r="C42" s="143"/>
      <c r="D42" s="143"/>
      <c r="E42" s="225"/>
      <c r="F42" s="452">
        <v>0.57999999999999996</v>
      </c>
      <c r="G42" s="453"/>
      <c r="H42" s="454">
        <v>0.35</v>
      </c>
      <c r="I42" s="225"/>
      <c r="J42" s="452">
        <v>0.62</v>
      </c>
      <c r="K42" s="225"/>
      <c r="L42" s="454">
        <v>0.32</v>
      </c>
      <c r="M42" s="225"/>
      <c r="N42" s="454">
        <v>0.35</v>
      </c>
      <c r="O42" s="453"/>
      <c r="P42" s="454"/>
      <c r="Q42" s="225"/>
      <c r="R42" s="226"/>
      <c r="S42" s="80"/>
      <c r="T42" s="501"/>
      <c r="U42" s="65"/>
      <c r="V42" s="59"/>
      <c r="W42" s="59"/>
      <c r="X42" s="59"/>
      <c r="Y42" s="44"/>
      <c r="Z42" s="44"/>
    </row>
    <row r="43" spans="1:26" s="63" customFormat="1" ht="11.45" customHeight="1">
      <c r="A43" s="226"/>
      <c r="B43" s="142" t="s">
        <v>163</v>
      </c>
      <c r="C43" s="142"/>
      <c r="D43" s="142"/>
      <c r="E43" s="225"/>
      <c r="F43" s="452">
        <v>0.21</v>
      </c>
      <c r="G43" s="455"/>
      <c r="H43" s="452">
        <v>0.42</v>
      </c>
      <c r="I43" s="225"/>
      <c r="J43" s="452">
        <v>0.22</v>
      </c>
      <c r="K43" s="225"/>
      <c r="L43" s="454">
        <v>0.37</v>
      </c>
      <c r="M43" s="225"/>
      <c r="N43" s="452">
        <v>0.39</v>
      </c>
      <c r="O43" s="455"/>
      <c r="P43" s="452"/>
      <c r="Q43" s="225"/>
      <c r="R43" s="226"/>
      <c r="S43" s="107"/>
      <c r="T43" s="51"/>
      <c r="W43" s="51"/>
    </row>
    <row r="44" spans="1:26" s="63" customFormat="1" ht="11.45" customHeight="1">
      <c r="A44" s="226"/>
      <c r="B44" s="143" t="s">
        <v>164</v>
      </c>
      <c r="C44" s="143"/>
      <c r="D44" s="143"/>
      <c r="E44" s="225"/>
      <c r="F44" s="456">
        <v>0.19</v>
      </c>
      <c r="G44" s="457"/>
      <c r="H44" s="456">
        <v>0.13</v>
      </c>
      <c r="I44" s="225"/>
      <c r="J44" s="452">
        <v>0.15</v>
      </c>
      <c r="K44" s="225"/>
      <c r="L44" s="454">
        <v>0.13</v>
      </c>
      <c r="M44" s="225"/>
      <c r="N44" s="456">
        <v>0.11</v>
      </c>
      <c r="O44" s="457"/>
      <c r="P44" s="456"/>
      <c r="Q44" s="225"/>
      <c r="R44" s="226"/>
      <c r="S44" s="107"/>
      <c r="T44" s="96"/>
      <c r="W44" s="51"/>
    </row>
    <row r="45" spans="1:26" s="63" customFormat="1" ht="11.45" customHeight="1">
      <c r="A45" s="225"/>
      <c r="B45" s="142" t="s">
        <v>165</v>
      </c>
      <c r="C45" s="142"/>
      <c r="D45" s="142"/>
      <c r="E45" s="225"/>
      <c r="F45" s="456">
        <v>0.02</v>
      </c>
      <c r="G45" s="457"/>
      <c r="H45" s="456">
        <v>0</v>
      </c>
      <c r="I45" s="225"/>
      <c r="J45" s="452">
        <v>0.01</v>
      </c>
      <c r="K45" s="225"/>
      <c r="L45" s="454">
        <v>0.03</v>
      </c>
      <c r="M45" s="225"/>
      <c r="N45" s="456">
        <v>0.03</v>
      </c>
      <c r="O45" s="457"/>
      <c r="P45" s="456"/>
      <c r="Q45" s="225"/>
      <c r="R45" s="226"/>
      <c r="S45" s="107"/>
      <c r="T45" s="96"/>
      <c r="W45" s="53"/>
    </row>
    <row r="46" spans="1:26" s="63" customFormat="1" ht="11.45" customHeight="1">
      <c r="A46" s="228"/>
      <c r="B46" s="144" t="s">
        <v>200</v>
      </c>
      <c r="C46" s="144"/>
      <c r="D46" s="144"/>
      <c r="E46" s="225"/>
      <c r="F46" s="458">
        <v>0</v>
      </c>
      <c r="G46" s="457"/>
      <c r="H46" s="458">
        <v>0.1</v>
      </c>
      <c r="I46" s="225"/>
      <c r="J46" s="458">
        <v>0</v>
      </c>
      <c r="K46" s="225"/>
      <c r="L46" s="459">
        <v>0.15</v>
      </c>
      <c r="M46" s="225"/>
      <c r="N46" s="458">
        <v>0.12</v>
      </c>
      <c r="O46" s="457"/>
      <c r="P46" s="456"/>
      <c r="Q46" s="225"/>
      <c r="R46" s="226"/>
      <c r="S46" s="107"/>
      <c r="U46" s="79"/>
      <c r="V46" s="53"/>
    </row>
    <row r="47" spans="1:26" s="63" customFormat="1" ht="11.45" customHeight="1">
      <c r="A47" s="225"/>
      <c r="B47" s="460" t="s">
        <v>210</v>
      </c>
      <c r="C47" s="461"/>
      <c r="D47" s="461"/>
      <c r="E47" s="225"/>
      <c r="F47" s="235"/>
      <c r="G47" s="236"/>
      <c r="H47" s="237"/>
      <c r="I47" s="225"/>
      <c r="J47" s="225"/>
      <c r="K47" s="225"/>
      <c r="L47" s="225"/>
      <c r="M47" s="225"/>
      <c r="N47" s="237"/>
      <c r="O47" s="236"/>
      <c r="P47" s="237"/>
      <c r="Q47" s="237"/>
      <c r="R47" s="237"/>
      <c r="S47" s="82"/>
      <c r="T47" s="486"/>
      <c r="U47" s="79"/>
      <c r="V47" s="53"/>
    </row>
    <row r="48" spans="1:26" s="63" customFormat="1" ht="11.45" customHeight="1">
      <c r="A48" s="225"/>
      <c r="B48" s="225"/>
      <c r="C48" s="225"/>
      <c r="D48" s="225"/>
      <c r="E48" s="225"/>
      <c r="F48" s="235"/>
      <c r="G48" s="236"/>
      <c r="H48" s="237"/>
      <c r="I48" s="225"/>
      <c r="J48" s="225"/>
      <c r="K48" s="225"/>
      <c r="L48" s="225"/>
      <c r="M48" s="225"/>
      <c r="N48" s="237"/>
      <c r="O48" s="236"/>
      <c r="P48" s="237"/>
      <c r="Q48" s="237"/>
      <c r="R48" s="237"/>
      <c r="S48" s="82"/>
      <c r="U48" s="79"/>
      <c r="V48" s="76"/>
    </row>
    <row r="49" spans="1:23" s="45" customFormat="1" ht="15" customHeight="1">
      <c r="A49" s="441" t="s">
        <v>207</v>
      </c>
      <c r="B49" s="440"/>
      <c r="C49" s="440"/>
      <c r="D49" s="440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493"/>
      <c r="R49" s="494"/>
      <c r="S49" s="495"/>
      <c r="T49" s="495"/>
      <c r="U49" s="84"/>
      <c r="V49" s="84"/>
      <c r="W49" s="83"/>
    </row>
    <row r="50" spans="1:23" s="45" customFormat="1" ht="11.45" customHeight="1" thickBot="1">
      <c r="A50" s="224"/>
      <c r="B50" s="224"/>
      <c r="C50" s="224"/>
      <c r="D50" s="224"/>
      <c r="E50" s="224"/>
      <c r="F50" s="451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38"/>
      <c r="R50" s="238"/>
      <c r="S50" s="501"/>
      <c r="T50" s="77"/>
      <c r="U50" s="77"/>
      <c r="V50" s="77"/>
      <c r="W50" s="53"/>
    </row>
    <row r="51" spans="1:23" s="80" customFormat="1" ht="11.45" customHeight="1">
      <c r="A51" s="225"/>
      <c r="B51" s="225"/>
      <c r="C51" s="225"/>
      <c r="D51" s="225"/>
      <c r="E51" s="225"/>
      <c r="F51" s="526" t="s">
        <v>6</v>
      </c>
      <c r="G51" s="526"/>
      <c r="H51" s="526"/>
      <c r="I51" s="225"/>
      <c r="J51" s="530" t="s">
        <v>238</v>
      </c>
      <c r="K51" s="530"/>
      <c r="L51" s="530"/>
      <c r="M51" s="225"/>
      <c r="N51" s="442" t="s">
        <v>21</v>
      </c>
      <c r="O51" s="443"/>
      <c r="P51" s="442"/>
      <c r="Q51" s="478"/>
      <c r="R51" s="225"/>
    </row>
    <row r="52" spans="1:23" s="80" customFormat="1" ht="11.45" customHeight="1">
      <c r="A52" s="225"/>
      <c r="B52" s="225"/>
      <c r="C52" s="225"/>
      <c r="D52" s="225"/>
      <c r="E52" s="225"/>
      <c r="F52" s="527" t="s">
        <v>237</v>
      </c>
      <c r="G52" s="527"/>
      <c r="H52" s="527"/>
      <c r="I52" s="225"/>
      <c r="J52" s="525" t="s">
        <v>237</v>
      </c>
      <c r="K52" s="525"/>
      <c r="L52" s="525"/>
      <c r="M52" s="225"/>
      <c r="N52" s="437" t="s">
        <v>1</v>
      </c>
      <c r="O52" s="437"/>
      <c r="P52" s="442"/>
      <c r="Q52" s="478"/>
      <c r="R52" s="225"/>
    </row>
    <row r="53" spans="1:23" s="45" customFormat="1" ht="11.45" customHeight="1">
      <c r="A53" s="462" t="s">
        <v>107</v>
      </c>
      <c r="B53" s="463"/>
      <c r="C53" s="463"/>
      <c r="D53" s="463" t="s">
        <v>0</v>
      </c>
      <c r="E53" s="196"/>
      <c r="F53" s="463">
        <v>2016</v>
      </c>
      <c r="G53" s="196"/>
      <c r="H53" s="463">
        <v>2015</v>
      </c>
      <c r="I53" s="196"/>
      <c r="J53" s="410">
        <v>2016</v>
      </c>
      <c r="K53" s="225"/>
      <c r="L53" s="410">
        <v>2015</v>
      </c>
      <c r="M53" s="196"/>
      <c r="N53" s="463">
        <v>2015</v>
      </c>
      <c r="O53" s="196"/>
      <c r="P53" s="196"/>
      <c r="Q53" s="478" t="s">
        <v>0</v>
      </c>
      <c r="R53" s="142"/>
      <c r="S53" s="63"/>
      <c r="T53" s="501"/>
      <c r="U53" s="65"/>
      <c r="V53" s="65"/>
    </row>
    <row r="54" spans="1:23" s="45" customFormat="1" ht="11.45" customHeight="1">
      <c r="A54" s="464"/>
      <c r="B54" s="196"/>
      <c r="C54" s="196"/>
      <c r="D54" s="196"/>
      <c r="E54" s="196"/>
      <c r="F54" s="196"/>
      <c r="G54" s="196"/>
      <c r="H54" s="465"/>
      <c r="I54" s="196"/>
      <c r="J54" s="196"/>
      <c r="K54" s="196"/>
      <c r="L54" s="196"/>
      <c r="M54" s="196"/>
      <c r="N54" s="465"/>
      <c r="O54" s="196"/>
      <c r="P54" s="196"/>
      <c r="Q54" s="502" t="s">
        <v>0</v>
      </c>
      <c r="R54" s="142"/>
      <c r="S54" s="63"/>
      <c r="T54" s="53"/>
      <c r="U54" s="43"/>
      <c r="V54" s="78"/>
    </row>
    <row r="55" spans="1:23" s="45" customFormat="1" ht="11.45" customHeight="1">
      <c r="A55" s="187" t="s">
        <v>233</v>
      </c>
      <c r="B55" s="187"/>
      <c r="C55" s="188"/>
      <c r="D55" s="308"/>
      <c r="E55" s="188"/>
      <c r="F55" s="158">
        <v>142.596</v>
      </c>
      <c r="G55" s="159"/>
      <c r="H55" s="158">
        <f>170.529+9+9.6</f>
        <v>189.12899999999999</v>
      </c>
      <c r="I55" s="188"/>
      <c r="J55" s="158">
        <f>154.6+F55-0.2</f>
        <v>296.99600000000004</v>
      </c>
      <c r="K55" s="188"/>
      <c r="L55" s="158">
        <v>359.62</v>
      </c>
      <c r="M55" s="188"/>
      <c r="N55" s="158">
        <v>716.4</v>
      </c>
      <c r="O55" s="159"/>
      <c r="P55" s="158"/>
      <c r="Q55" s="142"/>
      <c r="R55" s="143"/>
      <c r="S55" s="107"/>
      <c r="T55" s="63"/>
    </row>
    <row r="56" spans="1:23" s="45" customFormat="1" ht="11.45" customHeight="1">
      <c r="A56" s="187" t="s">
        <v>76</v>
      </c>
      <c r="B56" s="187"/>
      <c r="C56" s="188"/>
      <c r="D56" s="309" t="s">
        <v>0</v>
      </c>
      <c r="E56" s="188"/>
      <c r="F56" s="158">
        <v>7.1550000000000002</v>
      </c>
      <c r="G56" s="158"/>
      <c r="H56" s="158">
        <v>8.5</v>
      </c>
      <c r="I56" s="188"/>
      <c r="J56" s="158">
        <f>7.818+F56</f>
        <v>14.972999999999999</v>
      </c>
      <c r="K56" s="188"/>
      <c r="L56" s="158">
        <v>17.3</v>
      </c>
      <c r="M56" s="188"/>
      <c r="N56" s="158">
        <v>32.6</v>
      </c>
      <c r="O56" s="158"/>
      <c r="P56" s="158"/>
      <c r="Q56" s="142"/>
      <c r="R56" s="143"/>
      <c r="S56" s="107"/>
      <c r="T56" s="96"/>
      <c r="U56" s="61"/>
    </row>
    <row r="57" spans="1:23" s="45" customFormat="1" ht="11.45" customHeight="1">
      <c r="A57" s="466" t="s">
        <v>214</v>
      </c>
      <c r="B57" s="466"/>
      <c r="C57" s="466"/>
      <c r="D57" s="467"/>
      <c r="E57" s="188"/>
      <c r="F57" s="158">
        <v>8.6850000000000005</v>
      </c>
      <c r="G57" s="158">
        <v>11</v>
      </c>
      <c r="H57" s="158">
        <v>10</v>
      </c>
      <c r="I57" s="188"/>
      <c r="J57" s="158">
        <f>12.5+F57</f>
        <v>21.185000000000002</v>
      </c>
      <c r="K57" s="188"/>
      <c r="L57" s="158">
        <v>21.1</v>
      </c>
      <c r="M57" s="188"/>
      <c r="N57" s="158">
        <v>44.1</v>
      </c>
      <c r="O57" s="158"/>
      <c r="P57" s="158"/>
      <c r="Q57" s="142"/>
      <c r="R57" s="143"/>
      <c r="S57" s="107"/>
      <c r="T57" s="63"/>
    </row>
    <row r="58" spans="1:23" s="302" customFormat="1" ht="11.45" customHeight="1">
      <c r="A58" s="282"/>
      <c r="B58" s="188" t="s">
        <v>234</v>
      </c>
      <c r="C58" s="282"/>
      <c r="D58" s="468"/>
      <c r="E58" s="282"/>
      <c r="F58" s="469">
        <f>SUM(F55:F57)</f>
        <v>158.43600000000001</v>
      </c>
      <c r="G58" s="157"/>
      <c r="H58" s="469">
        <f>SUM(H55:H57)</f>
        <v>207.62899999999999</v>
      </c>
      <c r="I58" s="282"/>
      <c r="J58" s="469">
        <f>SUM(J55:J57)</f>
        <v>333.15400000000005</v>
      </c>
      <c r="K58" s="282"/>
      <c r="L58" s="469">
        <f>SUM(L55:L57)</f>
        <v>398.02000000000004</v>
      </c>
      <c r="M58" s="282"/>
      <c r="N58" s="469">
        <f>SUM(N55:N57)</f>
        <v>793.1</v>
      </c>
      <c r="O58" s="157"/>
      <c r="P58" s="157"/>
      <c r="Q58" s="241"/>
      <c r="R58" s="241"/>
      <c r="S58" s="503"/>
      <c r="T58" s="480"/>
    </row>
    <row r="59" spans="1:23" s="45" customFormat="1" ht="11.45" customHeight="1">
      <c r="A59" s="142" t="s">
        <v>190</v>
      </c>
      <c r="B59" s="142"/>
      <c r="C59" s="142"/>
      <c r="D59" s="142"/>
      <c r="E59" s="225"/>
      <c r="F59" s="158">
        <v>-41.762999999999998</v>
      </c>
      <c r="G59" s="242"/>
      <c r="H59" s="158">
        <f>-64.035-9.6</f>
        <v>-73.634999999999991</v>
      </c>
      <c r="I59" s="225"/>
      <c r="J59" s="158">
        <f>-48.3+F59</f>
        <v>-90.062999999999988</v>
      </c>
      <c r="K59" s="225"/>
      <c r="L59" s="158">
        <v>-137.61199999999999</v>
      </c>
      <c r="M59" s="225"/>
      <c r="N59" s="158">
        <v>-303.3</v>
      </c>
      <c r="O59" s="243"/>
      <c r="P59" s="242"/>
      <c r="Q59" s="242"/>
      <c r="R59" s="242"/>
      <c r="S59" s="77"/>
      <c r="T59" s="63"/>
      <c r="U59" s="63"/>
    </row>
    <row r="60" spans="1:23" s="45" customFormat="1" ht="11.45" customHeight="1">
      <c r="A60" s="142" t="s">
        <v>75</v>
      </c>
      <c r="B60" s="142"/>
      <c r="C60" s="142"/>
      <c r="D60" s="142"/>
      <c r="E60" s="225"/>
      <c r="F60" s="159">
        <v>-2.456</v>
      </c>
      <c r="G60" s="242"/>
      <c r="H60" s="159">
        <v>-3.3</v>
      </c>
      <c r="I60" s="225"/>
      <c r="J60" s="159">
        <f>-2+F60</f>
        <v>-4.4559999999999995</v>
      </c>
      <c r="K60" s="225"/>
      <c r="L60" s="159">
        <v>-6.2</v>
      </c>
      <c r="M60" s="225"/>
      <c r="N60" s="159">
        <v>-12.3</v>
      </c>
      <c r="O60" s="243"/>
      <c r="P60" s="242"/>
      <c r="Q60" s="242"/>
      <c r="R60" s="242"/>
      <c r="S60" s="77"/>
      <c r="T60" s="63"/>
    </row>
    <row r="61" spans="1:23" s="45" customFormat="1" ht="11.45" customHeight="1">
      <c r="A61" s="470"/>
      <c r="B61" s="145" t="s">
        <v>235</v>
      </c>
      <c r="C61" s="145"/>
      <c r="D61" s="145"/>
      <c r="E61" s="448"/>
      <c r="F61" s="160">
        <f>SUM(F58:F60)</f>
        <v>114.217</v>
      </c>
      <c r="G61" s="471"/>
      <c r="H61" s="160">
        <f>SUM(H58:H60)</f>
        <v>130.69399999999999</v>
      </c>
      <c r="I61" s="448"/>
      <c r="J61" s="160">
        <f>SUM(J58:J60)</f>
        <v>238.63500000000008</v>
      </c>
      <c r="K61" s="448"/>
      <c r="L61" s="160">
        <f>SUM(L58:L60)</f>
        <v>254.20800000000003</v>
      </c>
      <c r="M61" s="448"/>
      <c r="N61" s="160">
        <f>SUM(N58:N60)</f>
        <v>477.5</v>
      </c>
      <c r="O61" s="243"/>
      <c r="P61" s="242"/>
      <c r="Q61" s="242"/>
      <c r="R61" s="242"/>
      <c r="S61" s="77"/>
      <c r="T61" s="63"/>
    </row>
    <row r="62" spans="1:23" s="45" customFormat="1" ht="11.45" customHeight="1">
      <c r="A62" s="142"/>
      <c r="B62" s="142"/>
      <c r="C62" s="142"/>
      <c r="D62" s="142"/>
      <c r="E62" s="225"/>
      <c r="F62" s="158"/>
      <c r="G62" s="242"/>
      <c r="H62" s="158"/>
      <c r="I62" s="225"/>
      <c r="J62" s="225"/>
      <c r="K62" s="225"/>
      <c r="L62" s="225"/>
      <c r="M62" s="225"/>
      <c r="N62" s="158"/>
      <c r="O62" s="243"/>
      <c r="P62" s="242"/>
      <c r="Q62" s="242"/>
      <c r="R62" s="242"/>
      <c r="S62" s="77"/>
      <c r="T62" s="63"/>
    </row>
    <row r="63" spans="1:23" s="45" customFormat="1" ht="11.45" customHeight="1">
      <c r="A63" s="142"/>
      <c r="B63" s="142"/>
      <c r="C63" s="142"/>
      <c r="D63" s="142"/>
      <c r="E63" s="226"/>
      <c r="F63" s="238"/>
      <c r="G63" s="239"/>
      <c r="H63" s="238"/>
      <c r="I63" s="226"/>
      <c r="J63" s="226"/>
      <c r="K63" s="226"/>
      <c r="L63" s="226"/>
      <c r="M63" s="226"/>
      <c r="N63" s="238"/>
      <c r="O63" s="239"/>
      <c r="P63" s="238"/>
      <c r="Q63" s="242"/>
      <c r="R63" s="242"/>
      <c r="S63" s="77"/>
      <c r="T63" s="63"/>
    </row>
    <row r="64" spans="1:23" s="45" customFormat="1" ht="15" customHeight="1">
      <c r="A64" s="441" t="s">
        <v>206</v>
      </c>
      <c r="B64" s="440"/>
      <c r="C64" s="440"/>
      <c r="D64" s="440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493"/>
      <c r="R64" s="494"/>
      <c r="S64" s="495"/>
      <c r="T64" s="495"/>
      <c r="U64" s="84"/>
      <c r="V64" s="84"/>
      <c r="W64" s="83"/>
    </row>
    <row r="65" spans="1:23" s="45" customFormat="1" ht="11.45" customHeight="1">
      <c r="A65" s="245"/>
      <c r="B65" s="143"/>
      <c r="C65" s="143"/>
      <c r="D65" s="143"/>
      <c r="E65" s="143"/>
      <c r="F65" s="472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2"/>
      <c r="R65" s="142"/>
      <c r="S65" s="53"/>
      <c r="T65" s="63"/>
    </row>
    <row r="66" spans="1:23" s="45" customFormat="1" ht="11.45" customHeight="1" thickBot="1">
      <c r="A66" s="224" t="s">
        <v>137</v>
      </c>
      <c r="B66" s="224"/>
      <c r="C66" s="224"/>
      <c r="D66" s="224"/>
      <c r="E66" s="224"/>
      <c r="F66" s="451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142"/>
      <c r="R66" s="142"/>
      <c r="S66" s="51"/>
      <c r="T66" s="63"/>
    </row>
    <row r="67" spans="1:23" s="80" customFormat="1" ht="11.45" customHeight="1">
      <c r="A67" s="225"/>
      <c r="B67" s="225"/>
      <c r="C67" s="225"/>
      <c r="D67" s="225"/>
      <c r="E67" s="225"/>
      <c r="F67" s="526" t="s">
        <v>6</v>
      </c>
      <c r="G67" s="526"/>
      <c r="H67" s="526"/>
      <c r="I67" s="225"/>
      <c r="J67" s="530" t="s">
        <v>238</v>
      </c>
      <c r="K67" s="530"/>
      <c r="L67" s="530"/>
      <c r="M67" s="225"/>
      <c r="N67" s="442" t="s">
        <v>21</v>
      </c>
      <c r="O67" s="436"/>
      <c r="P67" s="442"/>
      <c r="Q67" s="478"/>
      <c r="R67" s="225"/>
    </row>
    <row r="68" spans="1:23" s="80" customFormat="1" ht="11.45" customHeight="1">
      <c r="A68" s="225"/>
      <c r="B68" s="225"/>
      <c r="C68" s="225"/>
      <c r="D68" s="225"/>
      <c r="E68" s="225"/>
      <c r="F68" s="527" t="s">
        <v>237</v>
      </c>
      <c r="G68" s="527"/>
      <c r="H68" s="527"/>
      <c r="I68" s="225"/>
      <c r="J68" s="525" t="s">
        <v>237</v>
      </c>
      <c r="K68" s="525"/>
      <c r="L68" s="525"/>
      <c r="M68" s="225"/>
      <c r="N68" s="437" t="s">
        <v>1</v>
      </c>
      <c r="O68" s="473"/>
      <c r="P68" s="442"/>
      <c r="Q68" s="478"/>
      <c r="R68" s="225"/>
    </row>
    <row r="69" spans="1:23" s="45" customFormat="1" ht="11.45" customHeight="1">
      <c r="A69" s="146" t="s">
        <v>107</v>
      </c>
      <c r="B69" s="144"/>
      <c r="C69" s="144"/>
      <c r="D69" s="144"/>
      <c r="E69" s="142"/>
      <c r="F69" s="295">
        <v>2016</v>
      </c>
      <c r="G69" s="229"/>
      <c r="H69" s="230">
        <f>+$N$29</f>
        <v>2015</v>
      </c>
      <c r="I69" s="142"/>
      <c r="J69" s="410">
        <v>2016</v>
      </c>
      <c r="K69" s="225"/>
      <c r="L69" s="410">
        <v>2015</v>
      </c>
      <c r="M69" s="142"/>
      <c r="N69" s="230">
        <f>+$N$29</f>
        <v>2015</v>
      </c>
      <c r="O69" s="229"/>
      <c r="P69" s="484"/>
      <c r="Q69" s="484"/>
      <c r="R69" s="484"/>
      <c r="S69" s="63"/>
      <c r="T69" s="63"/>
    </row>
    <row r="70" spans="1:23" s="45" customFormat="1" ht="11.45" customHeight="1">
      <c r="A70" s="259"/>
      <c r="B70" s="142"/>
      <c r="C70" s="142"/>
      <c r="D70" s="142"/>
      <c r="E70" s="142"/>
      <c r="F70" s="169" t="s">
        <v>0</v>
      </c>
      <c r="G70" s="169"/>
      <c r="H70" s="169"/>
      <c r="I70" s="142"/>
      <c r="J70" s="142"/>
      <c r="K70" s="142"/>
      <c r="L70" s="142"/>
      <c r="M70" s="142"/>
      <c r="N70" s="169"/>
      <c r="O70" s="169"/>
      <c r="P70" s="169"/>
      <c r="Q70" s="169"/>
      <c r="R70" s="504"/>
      <c r="S70" s="63"/>
      <c r="T70" s="63"/>
    </row>
    <row r="71" spans="1:23" s="45" customFormat="1" ht="11.45" customHeight="1">
      <c r="A71" s="143"/>
      <c r="B71" s="143" t="s">
        <v>74</v>
      </c>
      <c r="C71" s="143"/>
      <c r="D71" s="143"/>
      <c r="E71" s="142"/>
      <c r="F71" s="158">
        <v>56.494</v>
      </c>
      <c r="G71" s="158"/>
      <c r="H71" s="158">
        <v>64.2</v>
      </c>
      <c r="I71" s="142"/>
      <c r="J71" s="412">
        <f>52.121+F71</f>
        <v>108.61500000000001</v>
      </c>
      <c r="K71" s="142"/>
      <c r="L71" s="142">
        <v>130.80000000000001</v>
      </c>
      <c r="M71" s="142"/>
      <c r="N71" s="158">
        <v>245.2</v>
      </c>
      <c r="O71" s="158"/>
      <c r="P71" s="158"/>
      <c r="Q71" s="63"/>
      <c r="R71" s="63"/>
      <c r="S71" s="63"/>
      <c r="T71" s="63"/>
    </row>
    <row r="72" spans="1:23" s="45" customFormat="1" ht="11.45" customHeight="1">
      <c r="A72" s="143"/>
      <c r="B72" s="143" t="s">
        <v>117</v>
      </c>
      <c r="C72" s="143"/>
      <c r="D72" s="143"/>
      <c r="E72" s="142"/>
      <c r="F72" s="158">
        <v>-14.407</v>
      </c>
      <c r="G72" s="158"/>
      <c r="H72" s="158">
        <v>-29.7</v>
      </c>
      <c r="I72" s="142"/>
      <c r="J72" s="158">
        <f>-11.4+F72</f>
        <v>-25.807000000000002</v>
      </c>
      <c r="K72" s="142"/>
      <c r="L72" s="158">
        <v>-54.8</v>
      </c>
      <c r="M72" s="142"/>
      <c r="N72" s="158">
        <v>-104.2</v>
      </c>
      <c r="O72" s="158"/>
      <c r="P72" s="204"/>
      <c r="Q72" s="486"/>
      <c r="R72" s="63"/>
      <c r="S72" s="63"/>
      <c r="T72" s="63"/>
    </row>
    <row r="73" spans="1:23" s="45" customFormat="1" ht="11.45" customHeight="1">
      <c r="A73" s="143"/>
      <c r="B73" s="143" t="s">
        <v>73</v>
      </c>
      <c r="C73" s="142"/>
      <c r="D73" s="142"/>
      <c r="E73" s="142"/>
      <c r="F73" s="158">
        <v>62.930999999999997</v>
      </c>
      <c r="G73" s="158"/>
      <c r="H73" s="158">
        <v>74.599999999999994</v>
      </c>
      <c r="I73" s="142"/>
      <c r="J73" s="412">
        <f>68.058+F73</f>
        <v>130.989</v>
      </c>
      <c r="K73" s="142"/>
      <c r="L73" s="142">
        <v>147.1</v>
      </c>
      <c r="M73" s="142"/>
      <c r="N73" s="158">
        <v>327.60000000000002</v>
      </c>
      <c r="O73" s="158"/>
      <c r="P73" s="158"/>
      <c r="Q73" s="247"/>
      <c r="R73" s="240"/>
      <c r="S73" s="431"/>
      <c r="T73" s="63"/>
    </row>
    <row r="74" spans="1:23" s="45" customFormat="1" ht="11.45" customHeight="1">
      <c r="A74" s="143"/>
      <c r="B74" s="143" t="s">
        <v>196</v>
      </c>
      <c r="C74" s="142"/>
      <c r="D74" s="142"/>
      <c r="E74" s="142"/>
      <c r="F74" s="158">
        <v>4.2430000000000003</v>
      </c>
      <c r="G74" s="158"/>
      <c r="H74" s="158">
        <v>56.9</v>
      </c>
      <c r="I74" s="142"/>
      <c r="J74" s="412">
        <f>0+F74</f>
        <v>4.2430000000000003</v>
      </c>
      <c r="K74" s="142"/>
      <c r="L74" s="142">
        <v>56.9</v>
      </c>
      <c r="M74" s="142"/>
      <c r="N74" s="158">
        <v>397.2</v>
      </c>
      <c r="O74" s="158"/>
      <c r="P74" s="158"/>
      <c r="Q74" s="247"/>
      <c r="R74" s="240"/>
      <c r="S74" s="431"/>
      <c r="T74" s="63"/>
    </row>
    <row r="75" spans="1:23" s="45" customFormat="1" ht="11.45" customHeight="1">
      <c r="A75" s="187" t="s">
        <v>203</v>
      </c>
      <c r="B75" s="187"/>
      <c r="C75" s="466"/>
      <c r="D75" s="467" t="s">
        <v>0</v>
      </c>
      <c r="E75" s="188"/>
      <c r="F75" s="158">
        <v>4.1529999999999996</v>
      </c>
      <c r="G75" s="158"/>
      <c r="H75" s="202">
        <v>4.7</v>
      </c>
      <c r="I75" s="188"/>
      <c r="J75" s="202">
        <f>1.413+F75</f>
        <v>5.5659999999999998</v>
      </c>
      <c r="K75" s="188"/>
      <c r="L75" s="435">
        <v>7.4</v>
      </c>
      <c r="M75" s="188"/>
      <c r="N75" s="202">
        <v>49</v>
      </c>
      <c r="O75" s="158"/>
      <c r="P75" s="158"/>
      <c r="Q75" s="142"/>
      <c r="R75" s="143"/>
      <c r="S75" s="63"/>
      <c r="T75" s="63"/>
    </row>
    <row r="76" spans="1:23" s="45" customFormat="1" ht="11.45" customHeight="1">
      <c r="A76" s="470"/>
      <c r="B76" s="145" t="s">
        <v>45</v>
      </c>
      <c r="C76" s="144"/>
      <c r="D76" s="144"/>
      <c r="E76" s="142"/>
      <c r="F76" s="160">
        <f>F71+F72+F73+F74+F75</f>
        <v>113.414</v>
      </c>
      <c r="G76" s="158"/>
      <c r="H76" s="160">
        <f>H71+H72+H73+H74+H75</f>
        <v>170.7</v>
      </c>
      <c r="I76" s="142"/>
      <c r="J76" s="160">
        <f>SUM(J71:J75)</f>
        <v>223.60600000000002</v>
      </c>
      <c r="K76" s="142"/>
      <c r="L76" s="160">
        <f>SUM(L71:L75)</f>
        <v>287.39999999999998</v>
      </c>
      <c r="M76" s="142"/>
      <c r="N76" s="160">
        <f>N71+N72+N73+N74+N75</f>
        <v>914.8</v>
      </c>
      <c r="O76" s="158"/>
      <c r="P76" s="157"/>
      <c r="Q76" s="496"/>
      <c r="R76" s="481"/>
      <c r="S76" s="63"/>
      <c r="T76" s="63"/>
    </row>
    <row r="77" spans="1:23" s="45" customFormat="1" ht="11.45" customHeight="1">
      <c r="A77" s="143"/>
      <c r="B77" s="143"/>
      <c r="C77" s="143"/>
      <c r="D77" s="143"/>
      <c r="E77" s="143"/>
      <c r="F77" s="287"/>
      <c r="G77" s="240"/>
      <c r="H77" s="296"/>
      <c r="I77" s="143"/>
      <c r="J77" s="143"/>
      <c r="K77" s="143"/>
      <c r="L77" s="143"/>
      <c r="M77" s="143"/>
      <c r="N77" s="296"/>
      <c r="O77" s="240"/>
      <c r="P77" s="240"/>
      <c r="Q77" s="247"/>
      <c r="R77" s="296"/>
      <c r="S77" s="63"/>
      <c r="T77" s="63"/>
    </row>
    <row r="78" spans="1:23" s="45" customFormat="1" ht="11.45" customHeight="1">
      <c r="A78" s="474"/>
      <c r="B78" s="143"/>
      <c r="C78" s="143"/>
      <c r="D78" s="143"/>
      <c r="E78" s="143"/>
      <c r="F78" s="240"/>
      <c r="G78" s="240"/>
      <c r="H78" s="240"/>
      <c r="I78" s="143"/>
      <c r="J78" s="143"/>
      <c r="K78" s="143"/>
      <c r="L78" s="143"/>
      <c r="M78" s="143"/>
      <c r="N78" s="240"/>
      <c r="O78" s="240"/>
      <c r="P78" s="240"/>
      <c r="Q78" s="247"/>
      <c r="R78" s="296"/>
      <c r="S78" s="63"/>
      <c r="T78" s="57"/>
      <c r="U78" s="58"/>
    </row>
    <row r="79" spans="1:23" s="45" customFormat="1" ht="15" customHeight="1">
      <c r="A79" s="441" t="s">
        <v>222</v>
      </c>
      <c r="B79" s="440"/>
      <c r="C79" s="440"/>
      <c r="D79" s="440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493"/>
      <c r="R79" s="494"/>
      <c r="S79" s="495"/>
      <c r="T79" s="495"/>
      <c r="U79" s="84"/>
      <c r="V79" s="84"/>
      <c r="W79" s="83"/>
    </row>
    <row r="80" spans="1:23" s="45" customFormat="1" ht="11.45" customHeight="1">
      <c r="A80" s="474"/>
      <c r="B80" s="143"/>
      <c r="C80" s="143"/>
      <c r="D80" s="143"/>
      <c r="E80" s="143"/>
      <c r="F80" s="240"/>
      <c r="G80" s="240"/>
      <c r="H80" s="240"/>
      <c r="I80" s="143"/>
      <c r="J80" s="143"/>
      <c r="K80" s="143"/>
      <c r="L80" s="143"/>
      <c r="M80" s="143"/>
      <c r="N80" s="240"/>
      <c r="O80" s="240"/>
      <c r="P80" s="240"/>
      <c r="Q80" s="247"/>
      <c r="R80" s="296"/>
      <c r="S80" s="63"/>
      <c r="T80" s="57"/>
      <c r="U80" s="58"/>
    </row>
    <row r="81" spans="1:23" s="45" customFormat="1" ht="15" customHeight="1">
      <c r="A81" s="441" t="s">
        <v>215</v>
      </c>
      <c r="B81" s="440"/>
      <c r="C81" s="440"/>
      <c r="D81" s="440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493"/>
      <c r="R81" s="494"/>
      <c r="S81" s="495"/>
      <c r="T81" s="495"/>
      <c r="U81" s="84"/>
      <c r="V81" s="84"/>
      <c r="W81" s="83"/>
    </row>
    <row r="82" spans="1:23" s="45" customFormat="1" ht="11.45" customHeight="1">
      <c r="A82" s="245"/>
      <c r="B82" s="143"/>
      <c r="C82" s="143"/>
      <c r="D82" s="143"/>
      <c r="E82" s="143"/>
      <c r="F82" s="255"/>
      <c r="G82" s="240"/>
      <c r="H82" s="240"/>
      <c r="I82" s="143"/>
      <c r="J82" s="143"/>
      <c r="K82" s="143"/>
      <c r="L82" s="143"/>
      <c r="M82" s="143"/>
      <c r="N82" s="240"/>
      <c r="O82" s="240"/>
      <c r="P82" s="240"/>
      <c r="Q82" s="247"/>
      <c r="R82" s="247"/>
      <c r="S82" s="63"/>
      <c r="T82" s="55"/>
    </row>
    <row r="83" spans="1:23" s="45" customFormat="1" ht="11.45" customHeight="1" thickBot="1">
      <c r="A83" s="224" t="s">
        <v>113</v>
      </c>
      <c r="B83" s="224"/>
      <c r="C83" s="224"/>
      <c r="D83" s="224"/>
      <c r="E83" s="224"/>
      <c r="F83" s="258"/>
      <c r="G83" s="258"/>
      <c r="H83" s="258"/>
      <c r="I83" s="224"/>
      <c r="J83" s="224"/>
      <c r="K83" s="224"/>
      <c r="L83" s="224"/>
      <c r="M83" s="224"/>
      <c r="N83" s="258"/>
      <c r="O83" s="258"/>
      <c r="P83" s="258"/>
      <c r="Q83" s="247"/>
      <c r="R83" s="247"/>
      <c r="S83" s="63"/>
      <c r="T83" s="63"/>
    </row>
    <row r="84" spans="1:23" s="80" customFormat="1" ht="11.45" customHeight="1">
      <c r="A84" s="225"/>
      <c r="B84" s="225"/>
      <c r="C84" s="225"/>
      <c r="D84" s="225"/>
      <c r="E84" s="225"/>
      <c r="F84" s="526" t="s">
        <v>6</v>
      </c>
      <c r="G84" s="526"/>
      <c r="H84" s="526"/>
      <c r="I84" s="225"/>
      <c r="J84" s="530" t="s">
        <v>238</v>
      </c>
      <c r="K84" s="530"/>
      <c r="L84" s="530"/>
      <c r="M84" s="225"/>
      <c r="N84" s="442" t="s">
        <v>21</v>
      </c>
      <c r="O84" s="443"/>
      <c r="P84" s="442"/>
      <c r="Q84" s="478"/>
      <c r="R84" s="225"/>
    </row>
    <row r="85" spans="1:23" s="80" customFormat="1" ht="11.45" customHeight="1">
      <c r="A85" s="225"/>
      <c r="B85" s="225"/>
      <c r="C85" s="225"/>
      <c r="D85" s="225"/>
      <c r="E85" s="225"/>
      <c r="F85" s="527" t="s">
        <v>237</v>
      </c>
      <c r="G85" s="527"/>
      <c r="H85" s="527"/>
      <c r="I85" s="225"/>
      <c r="J85" s="525" t="s">
        <v>237</v>
      </c>
      <c r="K85" s="525"/>
      <c r="L85" s="525"/>
      <c r="M85" s="225"/>
      <c r="N85" s="437" t="s">
        <v>1</v>
      </c>
      <c r="O85" s="473"/>
      <c r="P85" s="442"/>
      <c r="Q85" s="478"/>
      <c r="R85" s="225"/>
    </row>
    <row r="86" spans="1:23" s="45" customFormat="1" ht="11.45" customHeight="1">
      <c r="A86" s="146" t="s">
        <v>107</v>
      </c>
      <c r="B86" s="144"/>
      <c r="C86" s="144"/>
      <c r="D86" s="144"/>
      <c r="E86" s="142"/>
      <c r="F86" s="295">
        <v>2016</v>
      </c>
      <c r="G86" s="229"/>
      <c r="H86" s="230">
        <v>2015</v>
      </c>
      <c r="I86" s="142"/>
      <c r="J86" s="410">
        <v>2016</v>
      </c>
      <c r="K86" s="225"/>
      <c r="L86" s="410">
        <v>2015</v>
      </c>
      <c r="M86" s="142"/>
      <c r="N86" s="230">
        <v>2015</v>
      </c>
      <c r="O86" s="229"/>
      <c r="P86" s="484"/>
      <c r="Q86" s="484"/>
      <c r="R86" s="484"/>
      <c r="S86" s="63"/>
      <c r="T86" s="63"/>
    </row>
    <row r="87" spans="1:23" s="45" customFormat="1" ht="11.45" customHeight="1">
      <c r="A87" s="259"/>
      <c r="B87" s="142"/>
      <c r="C87" s="142"/>
      <c r="D87" s="142"/>
      <c r="E87" s="142"/>
      <c r="F87" s="169" t="s">
        <v>0</v>
      </c>
      <c r="G87" s="169"/>
      <c r="H87" s="169"/>
      <c r="I87" s="142"/>
      <c r="J87" s="142"/>
      <c r="K87" s="142"/>
      <c r="L87" s="142"/>
      <c r="M87" s="142"/>
      <c r="N87" s="169"/>
      <c r="O87" s="169"/>
      <c r="P87" s="169"/>
      <c r="Q87" s="169"/>
      <c r="R87" s="169"/>
      <c r="S87" s="63"/>
      <c r="T87" s="63"/>
    </row>
    <row r="88" spans="1:23" s="45" customFormat="1" ht="11.45" customHeight="1">
      <c r="A88" s="143"/>
      <c r="B88" s="143" t="s">
        <v>72</v>
      </c>
      <c r="C88" s="143"/>
      <c r="D88" s="143"/>
      <c r="E88" s="142"/>
      <c r="F88" s="158">
        <v>-16.254999999999999</v>
      </c>
      <c r="G88" s="158"/>
      <c r="H88" s="158">
        <v>-14.4</v>
      </c>
      <c r="I88" s="142"/>
      <c r="J88" s="158">
        <f>-14.933+F88</f>
        <v>-31.187999999999999</v>
      </c>
      <c r="K88" s="142"/>
      <c r="L88" s="158">
        <v>-28.7</v>
      </c>
      <c r="M88" s="142"/>
      <c r="N88" s="158">
        <v>-58.2</v>
      </c>
      <c r="O88" s="158"/>
      <c r="P88" s="158"/>
      <c r="Q88" s="159"/>
      <c r="R88" s="158"/>
      <c r="S88" s="506"/>
      <c r="T88" s="63"/>
    </row>
    <row r="89" spans="1:23" s="45" customFormat="1" ht="11.45" customHeight="1">
      <c r="A89" s="143"/>
      <c r="B89" s="143" t="s">
        <v>71</v>
      </c>
      <c r="C89" s="143"/>
      <c r="D89" s="143"/>
      <c r="E89" s="142"/>
      <c r="F89" s="159">
        <v>3.9359999999999999</v>
      </c>
      <c r="G89" s="158"/>
      <c r="H89" s="159">
        <v>4.8</v>
      </c>
      <c r="I89" s="142"/>
      <c r="J89" s="159">
        <f>4.828+F89</f>
        <v>8.7639999999999993</v>
      </c>
      <c r="K89" s="158"/>
      <c r="L89" s="159">
        <v>9.6</v>
      </c>
      <c r="M89" s="142"/>
      <c r="N89" s="159">
        <v>19.600000000000001</v>
      </c>
      <c r="O89" s="158"/>
      <c r="P89" s="158"/>
      <c r="Q89" s="267"/>
      <c r="R89" s="158"/>
      <c r="S89" s="507"/>
      <c r="T89" s="135"/>
    </row>
    <row r="90" spans="1:23" s="45" customFormat="1" ht="11.45" customHeight="1">
      <c r="A90" s="143"/>
      <c r="B90" s="144" t="s">
        <v>70</v>
      </c>
      <c r="C90" s="144"/>
      <c r="D90" s="144"/>
      <c r="E90" s="142"/>
      <c r="F90" s="159">
        <v>1.278</v>
      </c>
      <c r="G90" s="158"/>
      <c r="H90" s="159">
        <f>2.1</f>
        <v>2.1</v>
      </c>
      <c r="I90" s="142"/>
      <c r="J90" s="159">
        <f>3.306+F90</f>
        <v>4.5839999999999996</v>
      </c>
      <c r="K90" s="159"/>
      <c r="L90" s="159">
        <v>3.8</v>
      </c>
      <c r="M90" s="142"/>
      <c r="N90" s="159">
        <f>9.1</f>
        <v>9.1</v>
      </c>
      <c r="O90" s="158"/>
      <c r="P90" s="158"/>
      <c r="Q90" s="159"/>
      <c r="R90" s="158"/>
      <c r="S90" s="507"/>
      <c r="T90" s="135"/>
    </row>
    <row r="91" spans="1:23" s="302" customFormat="1" ht="11.45" customHeight="1">
      <c r="A91" s="145"/>
      <c r="B91" s="447" t="s">
        <v>45</v>
      </c>
      <c r="C91" s="447"/>
      <c r="D91" s="447"/>
      <c r="E91" s="141"/>
      <c r="F91" s="160">
        <f>SUM(F88:F90)</f>
        <v>-11.040999999999999</v>
      </c>
      <c r="G91" s="156"/>
      <c r="H91" s="160">
        <f>SUM(H88:H90)+0.1</f>
        <v>-7.4000000000000021</v>
      </c>
      <c r="I91" s="141"/>
      <c r="J91" s="160">
        <f>SUM(J88:J90)+0.01</f>
        <v>-17.829999999999998</v>
      </c>
      <c r="K91" s="159"/>
      <c r="L91" s="160">
        <f>SUM(L88:L90)+0.1</f>
        <v>-15.200000000000001</v>
      </c>
      <c r="M91" s="141"/>
      <c r="N91" s="160">
        <f>SUM(N88:N90)</f>
        <v>-29.5</v>
      </c>
      <c r="O91" s="156"/>
      <c r="P91" s="157"/>
      <c r="Q91" s="157"/>
      <c r="R91" s="157"/>
      <c r="S91" s="94"/>
      <c r="T91" s="508"/>
    </row>
    <row r="92" spans="1:23" s="45" customFormat="1" ht="11.45" customHeight="1">
      <c r="A92" s="474"/>
      <c r="B92" s="143"/>
      <c r="C92" s="143"/>
      <c r="D92" s="143"/>
      <c r="E92" s="143"/>
      <c r="F92" s="287"/>
      <c r="G92" s="240"/>
      <c r="H92" s="240"/>
      <c r="I92" s="143"/>
      <c r="J92" s="143"/>
      <c r="K92" s="143"/>
      <c r="L92" s="143"/>
      <c r="M92" s="143"/>
      <c r="N92" s="240"/>
      <c r="O92" s="240"/>
      <c r="P92" s="240"/>
      <c r="Q92" s="247"/>
      <c r="R92" s="247"/>
      <c r="S92" s="57"/>
      <c r="T92" s="135"/>
    </row>
    <row r="93" spans="1:23" s="45" customFormat="1" ht="11.45" customHeight="1">
      <c r="A93" s="142"/>
      <c r="B93" s="142"/>
      <c r="C93" s="142"/>
      <c r="D93" s="142"/>
      <c r="E93" s="143"/>
      <c r="F93" s="242"/>
      <c r="G93" s="240"/>
      <c r="H93" s="241"/>
      <c r="I93" s="143"/>
      <c r="J93" s="143"/>
      <c r="K93" s="143"/>
      <c r="L93" s="143"/>
      <c r="M93" s="143"/>
      <c r="N93" s="241"/>
      <c r="O93" s="240"/>
      <c r="P93" s="241"/>
      <c r="Q93" s="241"/>
      <c r="R93" s="241"/>
      <c r="S93" s="55"/>
      <c r="T93" s="135"/>
    </row>
    <row r="94" spans="1:23" s="45" customFormat="1" ht="15" customHeight="1">
      <c r="A94" s="441" t="s">
        <v>216</v>
      </c>
      <c r="B94" s="440"/>
      <c r="C94" s="440"/>
      <c r="D94" s="440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493"/>
      <c r="R94" s="494"/>
      <c r="S94" s="495"/>
      <c r="T94" s="495"/>
      <c r="U94" s="84"/>
      <c r="V94" s="84"/>
      <c r="W94" s="83"/>
    </row>
    <row r="95" spans="1:23" s="45" customFormat="1" ht="11.45" customHeight="1">
      <c r="A95" s="245"/>
      <c r="B95" s="143"/>
      <c r="C95" s="143"/>
      <c r="D95" s="143"/>
      <c r="E95" s="143"/>
      <c r="F95" s="255"/>
      <c r="G95" s="240"/>
      <c r="H95" s="240"/>
      <c r="I95" s="143"/>
      <c r="J95" s="143"/>
      <c r="K95" s="143"/>
      <c r="L95" s="143"/>
      <c r="M95" s="143"/>
      <c r="N95" s="240"/>
      <c r="O95" s="240"/>
      <c r="P95" s="240"/>
      <c r="Q95" s="247"/>
      <c r="R95" s="247"/>
      <c r="S95" s="63"/>
      <c r="T95" s="63"/>
    </row>
    <row r="96" spans="1:23" s="45" customFormat="1" ht="11.45" customHeight="1" thickBot="1">
      <c r="A96" s="224" t="s">
        <v>115</v>
      </c>
      <c r="B96" s="224"/>
      <c r="C96" s="224"/>
      <c r="D96" s="224"/>
      <c r="E96" s="224"/>
      <c r="F96" s="258"/>
      <c r="G96" s="258"/>
      <c r="H96" s="258"/>
      <c r="I96" s="224"/>
      <c r="J96" s="224"/>
      <c r="K96" s="224"/>
      <c r="L96" s="224"/>
      <c r="M96" s="224"/>
      <c r="N96" s="258"/>
      <c r="O96" s="258"/>
      <c r="P96" s="258"/>
      <c r="Q96" s="247"/>
      <c r="R96" s="247"/>
      <c r="S96" s="63"/>
      <c r="T96" s="57"/>
      <c r="U96" s="58"/>
      <c r="V96" s="58"/>
    </row>
    <row r="97" spans="1:23" s="80" customFormat="1" ht="11.45" customHeight="1">
      <c r="A97" s="225"/>
      <c r="B97" s="225"/>
      <c r="C97" s="225"/>
      <c r="D97" s="225"/>
      <c r="E97" s="225"/>
      <c r="F97" s="526" t="s">
        <v>6</v>
      </c>
      <c r="G97" s="526"/>
      <c r="H97" s="526"/>
      <c r="I97" s="225"/>
      <c r="J97" s="530" t="s">
        <v>238</v>
      </c>
      <c r="K97" s="530"/>
      <c r="L97" s="530"/>
      <c r="M97" s="225"/>
      <c r="N97" s="442" t="s">
        <v>21</v>
      </c>
      <c r="O97" s="436"/>
      <c r="P97" s="442"/>
      <c r="Q97" s="478"/>
      <c r="R97" s="225"/>
    </row>
    <row r="98" spans="1:23" s="80" customFormat="1" ht="11.45" customHeight="1">
      <c r="A98" s="225"/>
      <c r="B98" s="225"/>
      <c r="C98" s="225"/>
      <c r="D98" s="225"/>
      <c r="E98" s="225"/>
      <c r="F98" s="527" t="s">
        <v>237</v>
      </c>
      <c r="G98" s="527"/>
      <c r="H98" s="527"/>
      <c r="I98" s="225"/>
      <c r="J98" s="525" t="s">
        <v>237</v>
      </c>
      <c r="K98" s="525"/>
      <c r="L98" s="525"/>
      <c r="M98" s="225"/>
      <c r="N98" s="437" t="s">
        <v>1</v>
      </c>
      <c r="O98" s="437"/>
      <c r="P98" s="442"/>
      <c r="Q98" s="478"/>
      <c r="R98" s="225"/>
    </row>
    <row r="99" spans="1:23" s="45" customFormat="1" ht="11.45" customHeight="1">
      <c r="A99" s="146" t="s">
        <v>107</v>
      </c>
      <c r="B99" s="144"/>
      <c r="C99" s="144"/>
      <c r="D99" s="144"/>
      <c r="E99" s="142"/>
      <c r="F99" s="295">
        <v>2016</v>
      </c>
      <c r="G99" s="229"/>
      <c r="H99" s="230">
        <v>2015</v>
      </c>
      <c r="I99" s="142"/>
      <c r="J99" s="410">
        <v>2016</v>
      </c>
      <c r="K99" s="225"/>
      <c r="L99" s="410">
        <v>2015</v>
      </c>
      <c r="M99" s="142"/>
      <c r="N99" s="230">
        <v>2015</v>
      </c>
      <c r="O99" s="229"/>
      <c r="P99" s="484"/>
      <c r="Q99" s="248"/>
      <c r="R99" s="143"/>
      <c r="S99" s="63"/>
      <c r="T99" s="63"/>
    </row>
    <row r="100" spans="1:23" s="45" customFormat="1" ht="11.45" customHeight="1">
      <c r="A100" s="259"/>
      <c r="B100" s="142"/>
      <c r="C100" s="142"/>
      <c r="D100" s="142"/>
      <c r="E100" s="142"/>
      <c r="F100" s="169" t="s">
        <v>0</v>
      </c>
      <c r="G100" s="169"/>
      <c r="H100" s="169"/>
      <c r="I100" s="142"/>
      <c r="J100" s="142"/>
      <c r="K100" s="142"/>
      <c r="L100" s="142"/>
      <c r="M100" s="142"/>
      <c r="N100" s="169"/>
      <c r="O100" s="169"/>
      <c r="P100" s="169"/>
      <c r="Q100" s="248"/>
      <c r="R100" s="143"/>
      <c r="S100" s="63"/>
      <c r="T100" s="63"/>
    </row>
    <row r="101" spans="1:23" s="45" customFormat="1" ht="11.45" customHeight="1">
      <c r="A101" s="143"/>
      <c r="B101" s="143" t="s">
        <v>69</v>
      </c>
      <c r="C101" s="143"/>
      <c r="D101" s="143"/>
      <c r="E101" s="142"/>
      <c r="F101" s="159">
        <v>0.63600000000000001</v>
      </c>
      <c r="G101" s="158"/>
      <c r="H101" s="159">
        <v>0.3</v>
      </c>
      <c r="I101" s="142"/>
      <c r="J101" s="159">
        <f>1.116+F101</f>
        <v>1.7520000000000002</v>
      </c>
      <c r="K101" s="142"/>
      <c r="L101" s="159">
        <v>0.8</v>
      </c>
      <c r="M101" s="142"/>
      <c r="N101" s="159">
        <v>2.7</v>
      </c>
      <c r="O101" s="158"/>
      <c r="P101" s="158"/>
      <c r="Q101" s="249"/>
      <c r="R101" s="250"/>
      <c r="S101" s="134"/>
      <c r="T101" s="63"/>
    </row>
    <row r="102" spans="1:23" s="45" customFormat="1" ht="11.45" customHeight="1">
      <c r="A102" s="143"/>
      <c r="B102" s="475" t="s">
        <v>103</v>
      </c>
      <c r="C102" s="475"/>
      <c r="D102" s="475"/>
      <c r="E102" s="142"/>
      <c r="F102" s="159">
        <v>0.187</v>
      </c>
      <c r="G102" s="158"/>
      <c r="H102" s="159">
        <v>0.3</v>
      </c>
      <c r="I102" s="142"/>
      <c r="J102" s="159">
        <f>1.19+F102</f>
        <v>1.377</v>
      </c>
      <c r="K102" s="142"/>
      <c r="L102" s="159">
        <v>-4.4000000000000004</v>
      </c>
      <c r="M102" s="142"/>
      <c r="N102" s="159">
        <v>-18.5</v>
      </c>
      <c r="O102" s="158"/>
      <c r="P102" s="158"/>
      <c r="Q102" s="249"/>
      <c r="R102" s="250"/>
      <c r="S102" s="134"/>
      <c r="T102" s="486"/>
    </row>
    <row r="103" spans="1:23" s="45" customFormat="1" ht="11.45" customHeight="1">
      <c r="A103" s="143"/>
      <c r="B103" s="143" t="s">
        <v>68</v>
      </c>
      <c r="C103" s="144"/>
      <c r="D103" s="144"/>
      <c r="E103" s="142"/>
      <c r="F103" s="159">
        <v>-1.77</v>
      </c>
      <c r="G103" s="158"/>
      <c r="H103" s="159">
        <v>-3</v>
      </c>
      <c r="I103" s="142"/>
      <c r="J103" s="159">
        <f>-0.706+F103</f>
        <v>-2.476</v>
      </c>
      <c r="K103" s="142"/>
      <c r="L103" s="159">
        <v>-4.2</v>
      </c>
      <c r="M103" s="142"/>
      <c r="N103" s="159">
        <v>-13.7</v>
      </c>
      <c r="O103" s="158"/>
      <c r="P103" s="158"/>
      <c r="Q103" s="247"/>
      <c r="R103" s="250"/>
      <c r="S103" s="134"/>
      <c r="T103" s="135"/>
    </row>
    <row r="104" spans="1:23" s="302" customFormat="1" ht="11.45" customHeight="1">
      <c r="A104" s="145"/>
      <c r="B104" s="145" t="s">
        <v>45</v>
      </c>
      <c r="C104" s="447"/>
      <c r="D104" s="447"/>
      <c r="E104" s="141"/>
      <c r="F104" s="160">
        <f>SUM(F101:F103)</f>
        <v>-0.94700000000000006</v>
      </c>
      <c r="G104" s="156"/>
      <c r="H104" s="160">
        <f>SUM(H101:H103)+0.1</f>
        <v>-2.2999999999999998</v>
      </c>
      <c r="I104" s="141"/>
      <c r="J104" s="414">
        <f>SUM(J101:J103)</f>
        <v>0.65300000000000047</v>
      </c>
      <c r="K104" s="141"/>
      <c r="L104" s="414">
        <f>SUM(L101:L103)+0.1</f>
        <v>-7.7000000000000011</v>
      </c>
      <c r="M104" s="141"/>
      <c r="N104" s="160">
        <f>SUM(N101:N103)-0.1</f>
        <v>-29.6</v>
      </c>
      <c r="O104" s="156"/>
      <c r="P104" s="157"/>
      <c r="Q104" s="261"/>
      <c r="R104" s="254"/>
      <c r="S104" s="303"/>
      <c r="T104" s="480"/>
    </row>
    <row r="105" spans="1:23" s="63" customFormat="1" ht="11.45" customHeight="1">
      <c r="A105" s="474"/>
      <c r="B105" s="143"/>
      <c r="C105" s="143"/>
      <c r="D105" s="143"/>
      <c r="E105" s="143"/>
      <c r="F105" s="287"/>
      <c r="G105" s="240"/>
      <c r="H105" s="240"/>
      <c r="I105" s="143"/>
      <c r="J105" s="143"/>
      <c r="K105" s="143"/>
      <c r="L105" s="143"/>
      <c r="M105" s="143"/>
      <c r="N105" s="240"/>
      <c r="O105" s="240"/>
      <c r="P105" s="240"/>
      <c r="Q105" s="247"/>
      <c r="R105" s="247"/>
      <c r="S105" s="56"/>
      <c r="T105" s="56"/>
      <c r="U105" s="56"/>
      <c r="V105" s="56"/>
      <c r="W105" s="57"/>
    </row>
    <row r="106" spans="1:23" s="45" customFormat="1" ht="11.45" customHeight="1">
      <c r="A106" s="474"/>
      <c r="B106" s="143"/>
      <c r="C106" s="143"/>
      <c r="D106" s="143"/>
      <c r="E106" s="143"/>
      <c r="F106" s="287"/>
      <c r="G106" s="240"/>
      <c r="H106" s="240"/>
      <c r="I106" s="143"/>
      <c r="J106" s="143"/>
      <c r="K106" s="143"/>
      <c r="L106" s="143"/>
      <c r="M106" s="143"/>
      <c r="N106" s="240"/>
      <c r="O106" s="240"/>
      <c r="P106" s="240"/>
      <c r="Q106" s="247"/>
      <c r="R106" s="247"/>
      <c r="S106" s="56"/>
      <c r="T106" s="55"/>
      <c r="U106" s="55"/>
    </row>
    <row r="107" spans="1:23" s="45" customFormat="1" ht="15" customHeight="1">
      <c r="A107" s="441" t="s">
        <v>217</v>
      </c>
      <c r="B107" s="440"/>
      <c r="C107" s="440"/>
      <c r="D107" s="440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493"/>
      <c r="R107" s="494"/>
      <c r="S107" s="495"/>
      <c r="T107" s="495"/>
      <c r="U107" s="84"/>
      <c r="V107" s="84"/>
      <c r="W107" s="83"/>
    </row>
    <row r="108" spans="1:23" s="45" customFormat="1" ht="11.45" customHeight="1">
      <c r="A108" s="245"/>
      <c r="B108" s="143"/>
      <c r="C108" s="143"/>
      <c r="D108" s="143"/>
      <c r="E108" s="143"/>
      <c r="F108" s="255"/>
      <c r="G108" s="240"/>
      <c r="H108" s="240"/>
      <c r="I108" s="143"/>
      <c r="J108" s="143"/>
      <c r="K108" s="143"/>
      <c r="L108" s="143"/>
      <c r="M108" s="143"/>
      <c r="N108" s="240"/>
      <c r="O108" s="240"/>
      <c r="P108" s="240"/>
      <c r="Q108" s="247"/>
      <c r="R108" s="247"/>
      <c r="S108" s="63"/>
      <c r="T108" s="57"/>
      <c r="U108" s="57"/>
    </row>
    <row r="109" spans="1:23" s="45" customFormat="1" ht="11.45" customHeight="1" thickBot="1">
      <c r="A109" s="224" t="s">
        <v>226</v>
      </c>
      <c r="B109" s="224"/>
      <c r="C109" s="224"/>
      <c r="D109" s="224"/>
      <c r="E109" s="224"/>
      <c r="F109" s="258"/>
      <c r="G109" s="258"/>
      <c r="H109" s="258"/>
      <c r="I109" s="224"/>
      <c r="J109" s="224"/>
      <c r="K109" s="224"/>
      <c r="L109" s="224"/>
      <c r="M109" s="224"/>
      <c r="N109" s="258"/>
      <c r="O109" s="258"/>
      <c r="P109" s="258"/>
      <c r="Q109" s="247"/>
      <c r="R109" s="247"/>
      <c r="S109" s="63"/>
      <c r="T109" s="53"/>
    </row>
    <row r="110" spans="1:23" s="80" customFormat="1" ht="11.45" customHeight="1">
      <c r="A110" s="225"/>
      <c r="B110" s="225"/>
      <c r="C110" s="225"/>
      <c r="D110" s="225"/>
      <c r="E110" s="225"/>
      <c r="F110" s="526" t="s">
        <v>6</v>
      </c>
      <c r="G110" s="526"/>
      <c r="H110" s="526"/>
      <c r="I110" s="225"/>
      <c r="J110" s="530" t="s">
        <v>238</v>
      </c>
      <c r="K110" s="530"/>
      <c r="L110" s="530"/>
      <c r="M110" s="225"/>
      <c r="N110" s="442" t="s">
        <v>21</v>
      </c>
      <c r="O110" s="436"/>
      <c r="P110" s="442"/>
      <c r="Q110" s="478"/>
      <c r="R110" s="225"/>
    </row>
    <row r="111" spans="1:23" s="80" customFormat="1" ht="11.45" customHeight="1">
      <c r="A111" s="225"/>
      <c r="B111" s="225"/>
      <c r="C111" s="225"/>
      <c r="D111" s="225"/>
      <c r="E111" s="225"/>
      <c r="F111" s="527" t="s">
        <v>237</v>
      </c>
      <c r="G111" s="527"/>
      <c r="H111" s="527"/>
      <c r="I111" s="225"/>
      <c r="J111" s="525" t="s">
        <v>237</v>
      </c>
      <c r="K111" s="525"/>
      <c r="L111" s="525"/>
      <c r="M111" s="225"/>
      <c r="N111" s="437" t="s">
        <v>1</v>
      </c>
      <c r="O111" s="437"/>
      <c r="P111" s="442"/>
      <c r="Q111" s="478"/>
      <c r="R111" s="225"/>
    </row>
    <row r="112" spans="1:23" s="45" customFormat="1" ht="11.45" customHeight="1">
      <c r="A112" s="146" t="s">
        <v>107</v>
      </c>
      <c r="B112" s="144"/>
      <c r="C112" s="144"/>
      <c r="D112" s="144"/>
      <c r="E112" s="142"/>
      <c r="F112" s="295">
        <v>2016</v>
      </c>
      <c r="G112" s="229"/>
      <c r="H112" s="230">
        <v>2015</v>
      </c>
      <c r="I112" s="142"/>
      <c r="J112" s="410">
        <v>2016</v>
      </c>
      <c r="K112" s="225"/>
      <c r="L112" s="410">
        <v>2015</v>
      </c>
      <c r="M112" s="142"/>
      <c r="N112" s="230">
        <v>2015</v>
      </c>
      <c r="O112" s="229"/>
      <c r="P112" s="484"/>
      <c r="Q112" s="248"/>
      <c r="R112" s="143"/>
      <c r="S112" s="63"/>
      <c r="T112" s="57"/>
    </row>
    <row r="113" spans="1:23" s="45" customFormat="1" ht="11.45" customHeight="1">
      <c r="A113" s="259"/>
      <c r="B113" s="142"/>
      <c r="C113" s="142"/>
      <c r="D113" s="142"/>
      <c r="E113" s="142"/>
      <c r="F113" s="169" t="s">
        <v>0</v>
      </c>
      <c r="G113" s="169"/>
      <c r="H113" s="169"/>
      <c r="I113" s="142"/>
      <c r="J113" s="142"/>
      <c r="K113" s="142"/>
      <c r="L113" s="142"/>
      <c r="M113" s="142"/>
      <c r="N113" s="169"/>
      <c r="O113" s="169"/>
      <c r="P113" s="169"/>
      <c r="Q113" s="248"/>
      <c r="R113" s="143"/>
      <c r="S113" s="63"/>
      <c r="T113" s="57"/>
    </row>
    <row r="114" spans="1:23" s="45" customFormat="1" ht="11.45" customHeight="1">
      <c r="A114" s="143"/>
      <c r="B114" s="143" t="s">
        <v>138</v>
      </c>
      <c r="C114" s="143"/>
      <c r="D114" s="143"/>
      <c r="E114" s="142"/>
      <c r="F114" s="159">
        <v>1.6950000000000001</v>
      </c>
      <c r="G114" s="158"/>
      <c r="H114" s="159">
        <v>5.0999999999999996</v>
      </c>
      <c r="I114" s="142"/>
      <c r="J114" s="159">
        <f>3.465+F114-0.1</f>
        <v>5.0600000000000005</v>
      </c>
      <c r="K114" s="142"/>
      <c r="L114" s="142">
        <v>14.3</v>
      </c>
      <c r="M114" s="142"/>
      <c r="N114" s="159">
        <v>19.600000000000001</v>
      </c>
      <c r="O114" s="158"/>
      <c r="P114" s="158"/>
      <c r="Q114" s="418"/>
      <c r="R114" s="250"/>
      <c r="S114" s="134"/>
      <c r="T114" s="57"/>
    </row>
    <row r="115" spans="1:23" s="45" customFormat="1" ht="11.45" customHeight="1">
      <c r="A115" s="143"/>
      <c r="B115" s="201" t="s">
        <v>247</v>
      </c>
      <c r="C115" s="201"/>
      <c r="D115" s="201"/>
      <c r="E115" s="142"/>
      <c r="F115" s="159">
        <v>-7.641</v>
      </c>
      <c r="G115" s="158"/>
      <c r="H115" s="159">
        <v>0.8</v>
      </c>
      <c r="I115" s="142"/>
      <c r="J115" s="159">
        <f>-8.566+F115+0.1</f>
        <v>-16.106999999999999</v>
      </c>
      <c r="K115" s="142"/>
      <c r="L115" s="142">
        <v>1.1000000000000001</v>
      </c>
      <c r="M115" s="142"/>
      <c r="N115" s="159">
        <v>2.8</v>
      </c>
      <c r="O115" s="158"/>
      <c r="P115" s="158"/>
      <c r="Q115" s="142"/>
      <c r="R115" s="251"/>
      <c r="S115" s="134"/>
      <c r="T115" s="56"/>
    </row>
    <row r="116" spans="1:23" s="302" customFormat="1" ht="11.45" customHeight="1">
      <c r="A116" s="145"/>
      <c r="B116" s="447" t="s">
        <v>45</v>
      </c>
      <c r="C116" s="447"/>
      <c r="D116" s="447"/>
      <c r="E116" s="141"/>
      <c r="F116" s="160">
        <f>SUM(F114:F115)</f>
        <v>-5.9459999999999997</v>
      </c>
      <c r="G116" s="156"/>
      <c r="H116" s="160">
        <f>SUM(H114:H115)</f>
        <v>5.8999999999999995</v>
      </c>
      <c r="I116" s="141"/>
      <c r="J116" s="414">
        <f>SUM(J114:J115)</f>
        <v>-11.046999999999999</v>
      </c>
      <c r="K116" s="141"/>
      <c r="L116" s="145">
        <f>SUM(L114:L115)</f>
        <v>15.4</v>
      </c>
      <c r="M116" s="141"/>
      <c r="N116" s="160">
        <f>SUM(N114:N115)</f>
        <v>22.400000000000002</v>
      </c>
      <c r="O116" s="156"/>
      <c r="P116" s="157"/>
      <c r="Q116" s="261"/>
      <c r="R116" s="254"/>
      <c r="S116" s="303"/>
      <c r="T116" s="74"/>
    </row>
    <row r="117" spans="1:23" s="45" customFormat="1" ht="11.45" customHeight="1">
      <c r="A117" s="474"/>
      <c r="B117" s="143"/>
      <c r="C117" s="143"/>
      <c r="D117" s="143"/>
      <c r="E117" s="143"/>
      <c r="F117" s="287"/>
      <c r="G117" s="240"/>
      <c r="H117" s="240"/>
      <c r="I117" s="143"/>
      <c r="J117" s="143"/>
      <c r="K117" s="143"/>
      <c r="L117" s="143"/>
      <c r="M117" s="143"/>
      <c r="N117" s="240"/>
      <c r="O117" s="240"/>
      <c r="P117" s="240"/>
      <c r="Q117" s="247"/>
      <c r="R117" s="247"/>
      <c r="S117" s="56"/>
      <c r="T117" s="55"/>
      <c r="U117" s="55"/>
    </row>
    <row r="118" spans="1:23" s="45" customFormat="1" ht="11.45" customHeight="1">
      <c r="A118" s="142"/>
      <c r="B118" s="142"/>
      <c r="C118" s="142"/>
      <c r="D118" s="142"/>
      <c r="E118" s="143"/>
      <c r="F118" s="242"/>
      <c r="G118" s="240"/>
      <c r="H118" s="241"/>
      <c r="I118" s="143"/>
      <c r="J118" s="143"/>
      <c r="K118" s="143"/>
      <c r="L118" s="143"/>
      <c r="M118" s="143"/>
      <c r="N118" s="241"/>
      <c r="O118" s="240"/>
      <c r="P118" s="241"/>
      <c r="Q118" s="241"/>
      <c r="R118" s="143"/>
      <c r="S118" s="108"/>
      <c r="T118" s="57"/>
    </row>
    <row r="119" spans="1:23" s="45" customFormat="1" ht="15" customHeight="1">
      <c r="A119" s="441" t="s">
        <v>218</v>
      </c>
      <c r="B119" s="440"/>
      <c r="C119" s="440"/>
      <c r="D119" s="440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493"/>
      <c r="R119" s="494"/>
      <c r="S119" s="495"/>
      <c r="T119" s="495"/>
      <c r="U119" s="84"/>
      <c r="V119" s="84"/>
      <c r="W119" s="83"/>
    </row>
    <row r="120" spans="1:23" s="45" customFormat="1" ht="11.45" customHeight="1">
      <c r="A120" s="245"/>
      <c r="B120" s="143"/>
      <c r="C120" s="143"/>
      <c r="D120" s="143"/>
      <c r="E120" s="143"/>
      <c r="F120" s="255"/>
      <c r="G120" s="240"/>
      <c r="H120" s="240"/>
      <c r="I120" s="143"/>
      <c r="J120" s="143"/>
      <c r="K120" s="143"/>
      <c r="L120" s="143"/>
      <c r="M120" s="143"/>
      <c r="N120" s="240"/>
      <c r="O120" s="240"/>
      <c r="P120" s="240"/>
      <c r="Q120" s="247"/>
      <c r="R120" s="247"/>
      <c r="S120" s="63"/>
      <c r="T120" s="57"/>
    </row>
    <row r="121" spans="1:23" s="45" customFormat="1" ht="11.45" customHeight="1" thickBot="1">
      <c r="A121" s="224" t="s">
        <v>195</v>
      </c>
      <c r="B121" s="224"/>
      <c r="C121" s="224"/>
      <c r="D121" s="224"/>
      <c r="E121" s="224"/>
      <c r="F121" s="258"/>
      <c r="G121" s="258"/>
      <c r="H121" s="258"/>
      <c r="I121" s="224"/>
      <c r="J121" s="224"/>
      <c r="K121" s="224"/>
      <c r="L121" s="224"/>
      <c r="M121" s="224"/>
      <c r="N121" s="258"/>
      <c r="O121" s="258"/>
      <c r="P121" s="258"/>
      <c r="Q121" s="247"/>
      <c r="R121" s="247"/>
      <c r="S121" s="108"/>
      <c r="T121" s="57"/>
    </row>
    <row r="122" spans="1:23" s="80" customFormat="1" ht="11.45" customHeight="1">
      <c r="A122" s="225"/>
      <c r="B122" s="225"/>
      <c r="C122" s="225"/>
      <c r="D122" s="225"/>
      <c r="E122" s="225"/>
      <c r="F122" s="526" t="s">
        <v>6</v>
      </c>
      <c r="G122" s="526"/>
      <c r="H122" s="526"/>
      <c r="I122" s="225"/>
      <c r="J122" s="530" t="s">
        <v>238</v>
      </c>
      <c r="K122" s="530"/>
      <c r="L122" s="530"/>
      <c r="M122" s="225"/>
      <c r="N122" s="442" t="s">
        <v>21</v>
      </c>
      <c r="O122" s="436"/>
      <c r="P122" s="442"/>
      <c r="Q122" s="478"/>
      <c r="R122" s="225"/>
    </row>
    <row r="123" spans="1:23" s="80" customFormat="1" ht="11.45" customHeight="1">
      <c r="A123" s="225"/>
      <c r="B123" s="225"/>
      <c r="C123" s="225"/>
      <c r="D123" s="225"/>
      <c r="E123" s="225"/>
      <c r="F123" s="527" t="s">
        <v>237</v>
      </c>
      <c r="G123" s="527"/>
      <c r="H123" s="527"/>
      <c r="I123" s="225"/>
      <c r="J123" s="525" t="s">
        <v>237</v>
      </c>
      <c r="K123" s="525"/>
      <c r="L123" s="525"/>
      <c r="M123" s="225"/>
      <c r="N123" s="437" t="s">
        <v>1</v>
      </c>
      <c r="O123" s="437"/>
      <c r="P123" s="442"/>
      <c r="Q123" s="478"/>
      <c r="R123" s="225"/>
    </row>
    <row r="124" spans="1:23" s="45" customFormat="1" ht="11.45" customHeight="1">
      <c r="A124" s="146" t="s">
        <v>107</v>
      </c>
      <c r="B124" s="144"/>
      <c r="C124" s="144"/>
      <c r="D124" s="144"/>
      <c r="E124" s="143"/>
      <c r="F124" s="295">
        <v>2016</v>
      </c>
      <c r="G124" s="229"/>
      <c r="H124" s="230">
        <v>2015</v>
      </c>
      <c r="I124" s="143"/>
      <c r="J124" s="410">
        <v>2016</v>
      </c>
      <c r="K124" s="225"/>
      <c r="L124" s="410">
        <v>2015</v>
      </c>
      <c r="M124" s="143"/>
      <c r="N124" s="230">
        <v>2015</v>
      </c>
      <c r="O124" s="229"/>
      <c r="P124" s="484"/>
      <c r="Q124" s="143"/>
      <c r="R124" s="143"/>
      <c r="S124" s="94"/>
      <c r="T124" s="63"/>
    </row>
    <row r="125" spans="1:23" s="45" customFormat="1" ht="11.45" customHeight="1">
      <c r="A125" s="259"/>
      <c r="B125" s="142"/>
      <c r="C125" s="142"/>
      <c r="D125" s="142"/>
      <c r="E125" s="143"/>
      <c r="F125" s="169"/>
      <c r="G125" s="169"/>
      <c r="H125" s="169"/>
      <c r="I125" s="143"/>
      <c r="J125" s="143"/>
      <c r="K125" s="143"/>
      <c r="L125" s="143"/>
      <c r="M125" s="143"/>
      <c r="N125" s="169"/>
      <c r="O125" s="169"/>
      <c r="P125" s="169"/>
      <c r="Q125" s="143"/>
      <c r="R125" s="143"/>
      <c r="S125" s="505"/>
      <c r="T125" s="63"/>
    </row>
    <row r="126" spans="1:23" s="45" customFormat="1" ht="11.45" customHeight="1">
      <c r="A126" s="143"/>
      <c r="B126" s="143" t="s">
        <v>139</v>
      </c>
      <c r="C126" s="143"/>
      <c r="D126" s="143"/>
      <c r="E126" s="143"/>
      <c r="F126" s="159">
        <v>3.6</v>
      </c>
      <c r="G126" s="158"/>
      <c r="H126" s="159">
        <v>-2.2000000000000002</v>
      </c>
      <c r="I126" s="143"/>
      <c r="J126" s="159">
        <f>-0.2+F126</f>
        <v>3.4</v>
      </c>
      <c r="K126" s="143"/>
      <c r="L126" s="143">
        <v>1.9</v>
      </c>
      <c r="M126" s="143"/>
      <c r="N126" s="159">
        <v>17.600000000000001</v>
      </c>
      <c r="O126" s="158"/>
      <c r="P126" s="158"/>
      <c r="Q126" s="249"/>
      <c r="R126" s="249"/>
      <c r="S126" s="486"/>
      <c r="T126" s="63"/>
    </row>
    <row r="127" spans="1:23" s="45" customFormat="1" ht="11.45" customHeight="1">
      <c r="A127" s="143"/>
      <c r="B127" s="475" t="s">
        <v>140</v>
      </c>
      <c r="C127" s="475"/>
      <c r="D127" s="475"/>
      <c r="E127" s="143"/>
      <c r="F127" s="159">
        <v>2.5</v>
      </c>
      <c r="G127" s="158"/>
      <c r="H127" s="159">
        <v>5.2</v>
      </c>
      <c r="I127" s="143"/>
      <c r="J127" s="159">
        <f>11.5+F127</f>
        <v>14</v>
      </c>
      <c r="K127" s="143"/>
      <c r="L127" s="143">
        <v>10.199999999999999</v>
      </c>
      <c r="M127" s="143"/>
      <c r="N127" s="159">
        <v>10.9</v>
      </c>
      <c r="O127" s="158"/>
      <c r="P127" s="158"/>
      <c r="Q127" s="509"/>
      <c r="R127" s="252"/>
      <c r="S127" s="486"/>
      <c r="T127" s="63"/>
    </row>
    <row r="128" spans="1:23" s="45" customFormat="1" ht="11.45" customHeight="1">
      <c r="A128" s="143"/>
      <c r="B128" s="475" t="s">
        <v>141</v>
      </c>
      <c r="C128" s="475"/>
      <c r="D128" s="475"/>
      <c r="E128" s="143"/>
      <c r="F128" s="159">
        <v>1.4</v>
      </c>
      <c r="G128" s="158"/>
      <c r="H128" s="159">
        <v>1.6</v>
      </c>
      <c r="I128" s="143"/>
      <c r="J128" s="159">
        <f>0.755+F128</f>
        <v>2.1549999999999998</v>
      </c>
      <c r="K128" s="143"/>
      <c r="L128" s="158">
        <v>3</v>
      </c>
      <c r="M128" s="143"/>
      <c r="N128" s="159">
        <v>5.3</v>
      </c>
      <c r="O128" s="158"/>
      <c r="P128" s="158"/>
      <c r="Q128" s="252"/>
      <c r="R128" s="252"/>
      <c r="S128" s="486"/>
      <c r="T128" s="63"/>
    </row>
    <row r="129" spans="1:23" s="45" customFormat="1" ht="11.45" customHeight="1">
      <c r="A129" s="143"/>
      <c r="B129" s="475" t="s">
        <v>142</v>
      </c>
      <c r="C129" s="475"/>
      <c r="D129" s="475"/>
      <c r="E129" s="143"/>
      <c r="F129" s="159">
        <v>43.7</v>
      </c>
      <c r="G129" s="158"/>
      <c r="H129" s="159">
        <v>55.4</v>
      </c>
      <c r="I129" s="143"/>
      <c r="J129" s="159">
        <f>96.4+F129</f>
        <v>140.10000000000002</v>
      </c>
      <c r="K129" s="143"/>
      <c r="L129" s="143">
        <v>76.599999999999994</v>
      </c>
      <c r="M129" s="143"/>
      <c r="N129" s="159">
        <v>116.6</v>
      </c>
      <c r="O129" s="158"/>
      <c r="P129" s="158"/>
      <c r="Q129" s="252"/>
      <c r="R129" s="252"/>
      <c r="S129" s="486"/>
      <c r="T129" s="63"/>
    </row>
    <row r="130" spans="1:23" s="45" customFormat="1" ht="11.45" customHeight="1">
      <c r="A130" s="143"/>
      <c r="B130" s="201" t="s">
        <v>143</v>
      </c>
      <c r="C130" s="201"/>
      <c r="D130" s="201"/>
      <c r="E130" s="143"/>
      <c r="F130" s="159">
        <v>0.7</v>
      </c>
      <c r="G130" s="158"/>
      <c r="H130" s="159">
        <v>3.3</v>
      </c>
      <c r="I130" s="143"/>
      <c r="J130" s="159">
        <f>0.49+F130</f>
        <v>1.19</v>
      </c>
      <c r="K130" s="143"/>
      <c r="L130" s="143">
        <v>13.1</v>
      </c>
      <c r="M130" s="143"/>
      <c r="N130" s="159">
        <v>15.3</v>
      </c>
      <c r="O130" s="158"/>
      <c r="P130" s="158"/>
      <c r="Q130" s="252"/>
      <c r="R130" s="252"/>
      <c r="S130" s="95"/>
      <c r="T130" s="63"/>
    </row>
    <row r="131" spans="1:23" s="302" customFormat="1" ht="11.45" customHeight="1">
      <c r="A131" s="145"/>
      <c r="B131" s="447" t="s">
        <v>45</v>
      </c>
      <c r="C131" s="447"/>
      <c r="D131" s="447"/>
      <c r="E131" s="301"/>
      <c r="F131" s="160">
        <f>SUM(F126:F130)</f>
        <v>51.900000000000006</v>
      </c>
      <c r="G131" s="156"/>
      <c r="H131" s="160">
        <f>SUM(H126:H130)</f>
        <v>63.3</v>
      </c>
      <c r="I131" s="301"/>
      <c r="J131" s="414">
        <f>SUM(J126:J130)+0.1</f>
        <v>160.94500000000002</v>
      </c>
      <c r="K131" s="301"/>
      <c r="L131" s="145">
        <f>SUM(L126:L130)</f>
        <v>104.79999999999998</v>
      </c>
      <c r="M131" s="301"/>
      <c r="N131" s="160">
        <f>SUM(N126:N130)</f>
        <v>165.7</v>
      </c>
      <c r="O131" s="156"/>
      <c r="P131" s="157"/>
      <c r="Q131" s="301"/>
      <c r="R131" s="301"/>
      <c r="S131" s="127"/>
      <c r="T131" s="480"/>
      <c r="U131" s="62"/>
    </row>
    <row r="132" spans="1:23" s="45" customFormat="1" ht="11.45" customHeight="1">
      <c r="A132" s="143"/>
      <c r="B132" s="460" t="s">
        <v>194</v>
      </c>
      <c r="C132" s="461"/>
      <c r="D132" s="461"/>
      <c r="E132" s="143"/>
      <c r="F132" s="157"/>
      <c r="G132" s="158"/>
      <c r="H132" s="157"/>
      <c r="I132" s="143"/>
      <c r="J132" s="143"/>
      <c r="K132" s="143"/>
      <c r="L132" s="143"/>
      <c r="M132" s="143"/>
      <c r="N132" s="157"/>
      <c r="O132" s="158"/>
      <c r="P132" s="157"/>
      <c r="Q132" s="247"/>
      <c r="R132" s="254"/>
      <c r="S132" s="53"/>
      <c r="T132" s="63"/>
      <c r="V132" s="43"/>
    </row>
    <row r="133" spans="1:23" s="45" customFormat="1" ht="11.45" customHeight="1">
      <c r="A133" s="143"/>
      <c r="B133" s="476"/>
      <c r="C133" s="476"/>
      <c r="D133" s="476"/>
      <c r="E133" s="143"/>
      <c r="F133" s="157"/>
      <c r="G133" s="158"/>
      <c r="H133" s="157"/>
      <c r="I133" s="143"/>
      <c r="J133" s="143"/>
      <c r="K133" s="143"/>
      <c r="L133" s="143"/>
      <c r="M133" s="143"/>
      <c r="N133" s="157"/>
      <c r="O133" s="158"/>
      <c r="P133" s="157"/>
      <c r="Q133" s="247"/>
      <c r="R133" s="254"/>
      <c r="S133" s="53"/>
      <c r="T133" s="63"/>
      <c r="V133" s="43"/>
    </row>
    <row r="134" spans="1:23" s="45" customFormat="1" ht="11.45" customHeight="1">
      <c r="A134" s="143"/>
      <c r="B134" s="142"/>
      <c r="C134" s="142"/>
      <c r="D134" s="142"/>
      <c r="E134" s="143"/>
      <c r="F134" s="157"/>
      <c r="G134" s="158"/>
      <c r="H134" s="157"/>
      <c r="I134" s="143"/>
      <c r="J134" s="143"/>
      <c r="K134" s="143"/>
      <c r="L134" s="143"/>
      <c r="M134" s="143"/>
      <c r="N134" s="157"/>
      <c r="O134" s="158"/>
      <c r="P134" s="157"/>
      <c r="Q134" s="247"/>
      <c r="R134" s="254"/>
      <c r="S134" s="53"/>
      <c r="T134" s="63"/>
      <c r="V134" s="43"/>
    </row>
    <row r="135" spans="1:23" s="45" customFormat="1" ht="15" customHeight="1">
      <c r="A135" s="441" t="s">
        <v>219</v>
      </c>
      <c r="B135" s="440"/>
      <c r="C135" s="440"/>
      <c r="D135" s="440"/>
      <c r="E135" s="222"/>
      <c r="F135" s="222" t="s">
        <v>0</v>
      </c>
      <c r="G135" s="222"/>
      <c r="H135" s="222" t="s">
        <v>0</v>
      </c>
      <c r="I135" s="222"/>
      <c r="J135" s="222"/>
      <c r="K135" s="222"/>
      <c r="L135" s="222"/>
      <c r="M135" s="222"/>
      <c r="N135" s="222" t="s">
        <v>0</v>
      </c>
      <c r="O135" s="222"/>
      <c r="P135" s="222"/>
      <c r="Q135" s="493"/>
      <c r="R135" s="494"/>
      <c r="S135" s="495"/>
      <c r="T135" s="495"/>
      <c r="U135" s="84"/>
      <c r="V135" s="84"/>
      <c r="W135" s="83"/>
    </row>
    <row r="136" spans="1:23" s="45" customFormat="1" ht="11.45" customHeight="1">
      <c r="A136" s="245"/>
      <c r="B136" s="143"/>
      <c r="C136" s="143"/>
      <c r="D136" s="143"/>
      <c r="E136" s="226"/>
      <c r="F136" s="255"/>
      <c r="G136" s="256"/>
      <c r="H136" s="255"/>
      <c r="I136" s="226"/>
      <c r="J136" s="226"/>
      <c r="K136" s="226"/>
      <c r="L136" s="226"/>
      <c r="M136" s="226"/>
      <c r="N136" s="255"/>
      <c r="O136" s="256"/>
      <c r="P136" s="255"/>
      <c r="Q136" s="257"/>
      <c r="R136" s="143"/>
      <c r="S136" s="80"/>
      <c r="T136" s="63"/>
      <c r="V136" s="43"/>
    </row>
    <row r="137" spans="1:23" s="45" customFormat="1" ht="13.5" thickBot="1">
      <c r="A137" s="224" t="s">
        <v>67</v>
      </c>
      <c r="B137" s="224"/>
      <c r="C137" s="224"/>
      <c r="D137" s="224"/>
      <c r="E137" s="224"/>
      <c r="F137" s="258"/>
      <c r="G137" s="258"/>
      <c r="H137" s="258"/>
      <c r="I137" s="258"/>
      <c r="J137" s="247"/>
      <c r="K137" s="247"/>
      <c r="L137" s="247"/>
      <c r="M137" s="247"/>
      <c r="N137" s="143"/>
      <c r="O137" s="247"/>
      <c r="P137" s="143"/>
      <c r="Q137" s="57"/>
      <c r="R137" s="63"/>
      <c r="S137" s="53"/>
      <c r="T137" s="63"/>
    </row>
    <row r="138" spans="1:23" s="80" customFormat="1" ht="12.75" customHeight="1">
      <c r="A138" s="225"/>
      <c r="B138" s="225"/>
      <c r="C138" s="225"/>
      <c r="D138" s="225"/>
      <c r="E138" s="225"/>
      <c r="F138" s="528" t="s">
        <v>237</v>
      </c>
      <c r="G138" s="528"/>
      <c r="H138" s="528"/>
      <c r="J138" s="477" t="s">
        <v>1</v>
      </c>
      <c r="O138" s="478"/>
      <c r="P138" s="225"/>
    </row>
    <row r="139" spans="1:23" s="45" customFormat="1">
      <c r="A139" s="146" t="s">
        <v>107</v>
      </c>
      <c r="B139" s="144"/>
      <c r="C139" s="144"/>
      <c r="D139" s="144"/>
      <c r="E139" s="143"/>
      <c r="F139" s="295">
        <v>2016</v>
      </c>
      <c r="G139" s="142"/>
      <c r="H139" s="479">
        <v>2015</v>
      </c>
      <c r="I139" s="63"/>
      <c r="J139" s="295">
        <v>2015</v>
      </c>
      <c r="K139" s="63"/>
      <c r="L139" s="63"/>
      <c r="M139" s="63"/>
      <c r="N139" s="63"/>
      <c r="O139" s="143"/>
      <c r="P139" s="143" t="s">
        <v>0</v>
      </c>
      <c r="Q139" s="63"/>
      <c r="R139" s="63"/>
      <c r="S139" s="57"/>
      <c r="T139" s="63"/>
    </row>
    <row r="140" spans="1:23" s="45" customFormat="1" ht="11.45" customHeight="1">
      <c r="A140" s="143"/>
      <c r="B140" s="143" t="s">
        <v>66</v>
      </c>
      <c r="C140" s="143"/>
      <c r="D140" s="143"/>
      <c r="E140" s="143"/>
      <c r="F140" s="158"/>
      <c r="G140" s="158"/>
      <c r="H140" s="143">
        <v>6.1</v>
      </c>
      <c r="I140" s="63"/>
      <c r="J140" s="158">
        <v>0</v>
      </c>
      <c r="K140" s="63"/>
      <c r="L140" s="63"/>
      <c r="M140" s="63"/>
      <c r="N140" s="63"/>
      <c r="O140" s="158"/>
      <c r="P140" s="158"/>
      <c r="Q140" s="247"/>
      <c r="R140" s="247"/>
      <c r="S140" s="56"/>
      <c r="T140" s="63"/>
    </row>
    <row r="141" spans="1:23" s="45" customFormat="1" ht="11.45" customHeight="1">
      <c r="A141" s="143"/>
      <c r="B141" s="143" t="s">
        <v>65</v>
      </c>
      <c r="C141" s="143"/>
      <c r="D141" s="143"/>
      <c r="E141" s="143"/>
      <c r="F141" s="158">
        <v>5.4247100000000001</v>
      </c>
      <c r="G141" s="158"/>
      <c r="H141" s="143">
        <v>15.9</v>
      </c>
      <c r="I141" s="63"/>
      <c r="J141" s="158">
        <v>10.8</v>
      </c>
      <c r="K141" s="63"/>
      <c r="L141" s="63"/>
      <c r="M141" s="63"/>
      <c r="N141" s="63"/>
      <c r="O141" s="158"/>
      <c r="P141" s="158"/>
      <c r="Q141" s="247"/>
      <c r="R141" s="247"/>
      <c r="S141" s="56"/>
      <c r="T141" s="63"/>
    </row>
    <row r="142" spans="1:23" s="45" customFormat="1" ht="11.45" customHeight="1">
      <c r="A142" s="143"/>
      <c r="B142" s="143" t="s">
        <v>92</v>
      </c>
      <c r="C142" s="143"/>
      <c r="D142" s="143"/>
      <c r="E142" s="143"/>
      <c r="F142" s="158">
        <v>14.305555</v>
      </c>
      <c r="G142" s="158"/>
      <c r="H142" s="143">
        <v>27.6</v>
      </c>
      <c r="I142" s="63"/>
      <c r="J142" s="158">
        <v>19.100000000000001</v>
      </c>
      <c r="K142" s="63"/>
      <c r="L142" s="63"/>
      <c r="M142" s="63"/>
      <c r="N142" s="63"/>
      <c r="O142" s="158"/>
      <c r="P142" s="158"/>
      <c r="Q142" s="247"/>
      <c r="R142" s="247"/>
      <c r="S142" s="56"/>
      <c r="T142" s="63"/>
    </row>
    <row r="143" spans="1:23" s="45" customFormat="1" ht="11.45" customHeight="1">
      <c r="A143" s="143"/>
      <c r="B143" s="143" t="s">
        <v>106</v>
      </c>
      <c r="C143" s="143"/>
      <c r="D143" s="143"/>
      <c r="E143" s="143"/>
      <c r="F143" s="158">
        <v>21.623072000000001</v>
      </c>
      <c r="G143" s="158"/>
      <c r="H143" s="158">
        <v>43</v>
      </c>
      <c r="I143" s="63"/>
      <c r="J143" s="158">
        <v>25.9</v>
      </c>
      <c r="K143" s="63"/>
      <c r="L143" s="63"/>
      <c r="M143" s="63"/>
      <c r="N143" s="63"/>
      <c r="O143" s="158"/>
      <c r="P143" s="158"/>
      <c r="Q143" s="247"/>
      <c r="R143" s="247"/>
      <c r="S143" s="56"/>
      <c r="T143" s="63"/>
    </row>
    <row r="144" spans="1:23" s="45" customFormat="1" ht="11.45" customHeight="1">
      <c r="A144" s="143"/>
      <c r="B144" s="143" t="s">
        <v>208</v>
      </c>
      <c r="C144" s="143"/>
      <c r="D144" s="143"/>
      <c r="E144" s="143"/>
      <c r="F144" s="158">
        <v>77.018227999999993</v>
      </c>
      <c r="G144" s="158"/>
      <c r="H144" s="143">
        <v>105.9</v>
      </c>
      <c r="I144" s="63"/>
      <c r="J144" s="158">
        <v>91.5</v>
      </c>
      <c r="K144" s="63"/>
      <c r="L144" s="63"/>
      <c r="M144" s="63"/>
      <c r="N144" s="63"/>
      <c r="O144" s="204"/>
      <c r="P144" s="158"/>
      <c r="Q144" s="247"/>
      <c r="R144" s="247"/>
      <c r="S144" s="56"/>
      <c r="T144" s="63"/>
    </row>
    <row r="145" spans="1:22" s="45" customFormat="1" ht="11.45" customHeight="1">
      <c r="A145" s="142"/>
      <c r="B145" s="142" t="s">
        <v>179</v>
      </c>
      <c r="C145" s="142"/>
      <c r="D145" s="142"/>
      <c r="E145" s="143"/>
      <c r="F145" s="158">
        <v>141.56400199999999</v>
      </c>
      <c r="G145" s="158"/>
      <c r="H145" s="143">
        <v>130.30000000000001</v>
      </c>
      <c r="I145" s="63"/>
      <c r="J145" s="158">
        <v>175.7</v>
      </c>
      <c r="K145" s="63"/>
      <c r="L145" s="63"/>
      <c r="M145" s="63"/>
      <c r="N145" s="63"/>
      <c r="O145" s="158"/>
      <c r="P145" s="158"/>
      <c r="Q145" s="247"/>
      <c r="R145" s="247"/>
      <c r="S145" s="56"/>
      <c r="T145" s="63"/>
    </row>
    <row r="146" spans="1:22" s="45" customFormat="1" ht="11.45" customHeight="1">
      <c r="A146" s="144"/>
      <c r="B146" s="144" t="s">
        <v>213</v>
      </c>
      <c r="C146" s="144"/>
      <c r="D146" s="144"/>
      <c r="E146" s="143"/>
      <c r="F146" s="202">
        <v>251.440752</v>
      </c>
      <c r="G146" s="158"/>
      <c r="H146" s="202">
        <v>0</v>
      </c>
      <c r="I146" s="63"/>
      <c r="J146" s="202">
        <v>0</v>
      </c>
      <c r="K146" s="63"/>
      <c r="L146" s="63"/>
      <c r="M146" s="63"/>
      <c r="N146" s="63"/>
      <c r="O146" s="158"/>
      <c r="P146" s="158"/>
      <c r="Q146" s="247"/>
      <c r="R146" s="247"/>
      <c r="S146" s="56"/>
      <c r="T146" s="63"/>
    </row>
    <row r="147" spans="1:22" s="45" customFormat="1" ht="11.45" customHeight="1">
      <c r="A147" s="143"/>
      <c r="B147" s="143" t="s">
        <v>64</v>
      </c>
      <c r="C147" s="143"/>
      <c r="D147" s="143"/>
      <c r="E147" s="143"/>
      <c r="F147" s="158">
        <f>SUM(F140:F146)</f>
        <v>511.37631899999997</v>
      </c>
      <c r="G147" s="158"/>
      <c r="H147" s="143">
        <f>SUM(H140:H145)</f>
        <v>328.8</v>
      </c>
      <c r="I147" s="63"/>
      <c r="J147" s="158">
        <f>SUM(J140:J145)+0.1</f>
        <v>323.10000000000002</v>
      </c>
      <c r="K147" s="63"/>
      <c r="L147" s="63"/>
      <c r="M147" s="63"/>
      <c r="N147" s="63"/>
      <c r="O147" s="158"/>
      <c r="P147" s="158"/>
      <c r="Q147" s="247"/>
      <c r="R147" s="247"/>
      <c r="S147" s="56"/>
      <c r="T147" s="63"/>
    </row>
    <row r="148" spans="1:22" s="45" customFormat="1" ht="11.45" customHeight="1">
      <c r="A148" s="143"/>
      <c r="B148" s="143" t="s">
        <v>63</v>
      </c>
      <c r="C148" s="143"/>
      <c r="D148" s="143"/>
      <c r="E148" s="143"/>
      <c r="F148" s="158">
        <v>174.69757300000001</v>
      </c>
      <c r="G148" s="158"/>
      <c r="H148" s="143">
        <v>421.1</v>
      </c>
      <c r="I148" s="63"/>
      <c r="J148" s="158">
        <v>371.9</v>
      </c>
      <c r="K148" s="63"/>
      <c r="L148" s="63"/>
      <c r="M148" s="63"/>
      <c r="N148" s="63"/>
      <c r="O148" s="158"/>
      <c r="P148" s="158"/>
      <c r="Q148" s="247"/>
      <c r="R148" s="247"/>
      <c r="S148" s="56"/>
      <c r="T148" s="63"/>
    </row>
    <row r="149" spans="1:22" s="302" customFormat="1" ht="11.45" customHeight="1">
      <c r="A149" s="145"/>
      <c r="B149" s="145" t="s">
        <v>62</v>
      </c>
      <c r="C149" s="145"/>
      <c r="D149" s="145"/>
      <c r="E149" s="301"/>
      <c r="F149" s="160">
        <f>SUM(F147:F148)</f>
        <v>686.073892</v>
      </c>
      <c r="G149" s="156"/>
      <c r="H149" s="145">
        <f>SUM(H147:H148)</f>
        <v>749.90000000000009</v>
      </c>
      <c r="I149" s="480"/>
      <c r="J149" s="160">
        <f>SUM(J147:J148)</f>
        <v>695</v>
      </c>
      <c r="K149" s="480"/>
      <c r="L149" s="480"/>
      <c r="M149" s="480"/>
      <c r="N149" s="480"/>
      <c r="O149" s="156"/>
      <c r="P149" s="156"/>
      <c r="Q149" s="261"/>
      <c r="R149" s="261"/>
      <c r="S149" s="74"/>
      <c r="T149" s="480"/>
    </row>
    <row r="150" spans="1:22" s="45" customFormat="1" ht="11.45" customHeight="1">
      <c r="A150" s="142"/>
      <c r="B150" s="259" t="s">
        <v>0</v>
      </c>
      <c r="C150" s="142"/>
      <c r="D150" s="142"/>
      <c r="E150" s="143"/>
      <c r="F150" s="241"/>
      <c r="G150" s="240"/>
      <c r="H150" s="241"/>
      <c r="I150" s="143"/>
      <c r="J150" s="143"/>
      <c r="K150" s="143"/>
      <c r="L150" s="143"/>
      <c r="M150" s="143"/>
      <c r="N150" s="241"/>
      <c r="O150" s="240"/>
      <c r="P150" s="241"/>
      <c r="Q150" s="241"/>
      <c r="R150" s="239"/>
      <c r="S150" s="56"/>
      <c r="T150" s="56"/>
      <c r="U150" s="56"/>
      <c r="V150" s="56"/>
    </row>
    <row r="151" spans="1:22" s="45" customFormat="1" ht="11.45" customHeight="1">
      <c r="A151" s="143"/>
      <c r="B151" s="481"/>
      <c r="C151" s="481"/>
      <c r="D151" s="481"/>
      <c r="E151" s="143"/>
      <c r="F151" s="240"/>
      <c r="G151" s="240"/>
      <c r="H151" s="240"/>
      <c r="I151" s="143"/>
      <c r="J151" s="143"/>
      <c r="K151" s="143"/>
      <c r="L151" s="143"/>
      <c r="M151" s="143"/>
      <c r="N151" s="240"/>
      <c r="O151" s="240"/>
      <c r="P151" s="240"/>
      <c r="Q151" s="247"/>
      <c r="R151" s="240"/>
      <c r="S151" s="56"/>
      <c r="T151" s="56"/>
      <c r="U151" s="56"/>
      <c r="V151" s="56"/>
    </row>
    <row r="152" spans="1:22" s="45" customFormat="1" ht="11.45" customHeight="1" thickBot="1">
      <c r="A152" s="260" t="s">
        <v>94</v>
      </c>
      <c r="B152" s="224"/>
      <c r="C152" s="224"/>
      <c r="D152" s="224"/>
      <c r="E152" s="224"/>
      <c r="F152" s="258"/>
      <c r="G152" s="258"/>
      <c r="H152" s="258"/>
      <c r="I152" s="224"/>
      <c r="J152" s="224"/>
      <c r="K152" s="224"/>
      <c r="L152" s="224"/>
      <c r="M152" s="224"/>
      <c r="N152" s="258"/>
      <c r="O152" s="258"/>
      <c r="P152" s="258"/>
      <c r="Q152" s="247"/>
      <c r="R152" s="240"/>
      <c r="S152" s="56"/>
      <c r="T152" s="56"/>
      <c r="U152" s="56"/>
      <c r="V152" s="56"/>
    </row>
    <row r="153" spans="1:22" s="80" customFormat="1" ht="11.45" customHeight="1">
      <c r="A153" s="225"/>
      <c r="B153" s="225"/>
      <c r="C153" s="225"/>
      <c r="D153" s="225"/>
      <c r="E153" s="225"/>
      <c r="F153" s="526" t="s">
        <v>6</v>
      </c>
      <c r="G153" s="526"/>
      <c r="H153" s="526"/>
      <c r="I153" s="225"/>
      <c r="J153" s="530" t="s">
        <v>238</v>
      </c>
      <c r="K153" s="530"/>
      <c r="L153" s="530"/>
      <c r="M153" s="225"/>
      <c r="N153" s="442" t="s">
        <v>21</v>
      </c>
      <c r="O153" s="436"/>
      <c r="P153" s="442"/>
      <c r="Q153" s="478"/>
      <c r="R153" s="225"/>
    </row>
    <row r="154" spans="1:22" s="80" customFormat="1" ht="11.45" customHeight="1">
      <c r="A154" s="225"/>
      <c r="B154" s="225"/>
      <c r="C154" s="225"/>
      <c r="D154" s="225"/>
      <c r="E154" s="225"/>
      <c r="F154" s="527" t="s">
        <v>237</v>
      </c>
      <c r="G154" s="527"/>
      <c r="H154" s="527"/>
      <c r="I154" s="225"/>
      <c r="J154" s="525" t="s">
        <v>237</v>
      </c>
      <c r="K154" s="525"/>
      <c r="L154" s="525"/>
      <c r="M154" s="225"/>
      <c r="N154" s="437" t="s">
        <v>1</v>
      </c>
      <c r="O154" s="437"/>
      <c r="P154" s="442"/>
      <c r="Q154" s="478"/>
      <c r="R154" s="225"/>
    </row>
    <row r="155" spans="1:22" s="45" customFormat="1" ht="11.45" customHeight="1">
      <c r="A155" s="146" t="s">
        <v>107</v>
      </c>
      <c r="B155" s="144"/>
      <c r="C155" s="144"/>
      <c r="D155" s="144"/>
      <c r="E155" s="143"/>
      <c r="F155" s="295">
        <v>2016</v>
      </c>
      <c r="G155" s="229"/>
      <c r="H155" s="230">
        <f>+$N$29</f>
        <v>2015</v>
      </c>
      <c r="I155" s="143"/>
      <c r="J155" s="410">
        <v>2016</v>
      </c>
      <c r="K155" s="225"/>
      <c r="L155" s="410">
        <v>2015</v>
      </c>
      <c r="M155" s="143"/>
      <c r="N155" s="230">
        <f>+$N$29</f>
        <v>2015</v>
      </c>
      <c r="O155" s="229"/>
      <c r="P155" s="484"/>
      <c r="Q155" s="240"/>
      <c r="R155" s="247"/>
      <c r="S155" s="56"/>
      <c r="T155" s="56"/>
    </row>
    <row r="156" spans="1:22" s="45" customFormat="1" ht="11.45" customHeight="1">
      <c r="A156" s="141"/>
      <c r="B156" s="142"/>
      <c r="C156" s="142"/>
      <c r="D156" s="142"/>
      <c r="E156" s="143"/>
      <c r="F156" s="169" t="s">
        <v>0</v>
      </c>
      <c r="G156" s="169"/>
      <c r="H156" s="169"/>
      <c r="I156" s="143"/>
      <c r="J156" s="143"/>
      <c r="K156" s="143"/>
      <c r="L156" s="143"/>
      <c r="M156" s="143"/>
      <c r="N156" s="169"/>
      <c r="O156" s="169"/>
      <c r="P156" s="169"/>
      <c r="Q156" s="261"/>
      <c r="R156" s="247"/>
      <c r="S156" s="56"/>
      <c r="T156" s="56"/>
      <c r="U156" s="56"/>
    </row>
    <row r="157" spans="1:22" s="45" customFormat="1" ht="11.45" customHeight="1">
      <c r="A157" s="143"/>
      <c r="B157" s="143" t="s">
        <v>112</v>
      </c>
      <c r="C157" s="143"/>
      <c r="D157" s="143"/>
      <c r="E157" s="143"/>
      <c r="F157" s="158">
        <f>F32</f>
        <v>47.161999999999999</v>
      </c>
      <c r="G157" s="158"/>
      <c r="H157" s="158">
        <f>H32</f>
        <v>112</v>
      </c>
      <c r="I157" s="143"/>
      <c r="J157" s="482">
        <f>J32</f>
        <v>107.062</v>
      </c>
      <c r="K157" s="143"/>
      <c r="L157" s="143">
        <v>198.6</v>
      </c>
      <c r="M157" s="143"/>
      <c r="N157" s="158">
        <f>N32</f>
        <v>380.4</v>
      </c>
      <c r="O157" s="158"/>
      <c r="P157" s="158"/>
      <c r="Q157" s="257"/>
      <c r="R157" s="247"/>
      <c r="S157" s="56"/>
      <c r="T157" s="56"/>
      <c r="U157" s="56"/>
    </row>
    <row r="158" spans="1:22" s="45" customFormat="1" ht="11.45" customHeight="1">
      <c r="A158" s="143"/>
      <c r="B158" s="143" t="s">
        <v>61</v>
      </c>
      <c r="C158" s="143"/>
      <c r="D158" s="143"/>
      <c r="E158" s="143"/>
      <c r="F158" s="158">
        <f>F33</f>
        <v>45.97</v>
      </c>
      <c r="G158" s="158"/>
      <c r="H158" s="158">
        <f>H33</f>
        <v>33.5</v>
      </c>
      <c r="I158" s="143"/>
      <c r="J158" s="433">
        <f>J33</f>
        <v>111.27</v>
      </c>
      <c r="K158" s="143"/>
      <c r="L158" s="143">
        <v>90.2</v>
      </c>
      <c r="M158" s="143"/>
      <c r="N158" s="158">
        <f>N33</f>
        <v>194.3</v>
      </c>
      <c r="O158" s="158"/>
      <c r="P158" s="158"/>
      <c r="Q158" s="247"/>
      <c r="R158" s="247"/>
      <c r="S158" s="56"/>
      <c r="T158" s="63"/>
    </row>
    <row r="159" spans="1:22" s="45" customFormat="1" ht="11.45" customHeight="1">
      <c r="A159" s="143"/>
      <c r="B159" s="143" t="s">
        <v>144</v>
      </c>
      <c r="C159" s="143"/>
      <c r="D159" s="143"/>
      <c r="E159" s="143"/>
      <c r="F159" s="158">
        <f>-CF!F19</f>
        <v>41.8</v>
      </c>
      <c r="G159" s="158"/>
      <c r="H159" s="158">
        <f>-CF!H19</f>
        <v>73.599999999999994</v>
      </c>
      <c r="I159" s="143"/>
      <c r="J159" s="143">
        <f>-CF!J19</f>
        <v>90.1</v>
      </c>
      <c r="K159" s="143"/>
      <c r="L159" s="143">
        <v>137.6</v>
      </c>
      <c r="M159" s="143"/>
      <c r="N159" s="158">
        <f>-CF!N19</f>
        <v>303.3</v>
      </c>
      <c r="O159" s="158"/>
      <c r="P159" s="158"/>
      <c r="Q159" s="247"/>
      <c r="R159" s="247"/>
      <c r="S159" s="56"/>
      <c r="T159" s="63"/>
    </row>
    <row r="160" spans="1:22" s="45" customFormat="1" ht="11.45" customHeight="1">
      <c r="A160" s="143"/>
      <c r="B160" s="143" t="s">
        <v>161</v>
      </c>
      <c r="C160" s="143"/>
      <c r="D160" s="143"/>
      <c r="E160" s="143"/>
      <c r="F160" s="262">
        <f>-(Notes!F32/CF!F19)</f>
        <v>1.1282775119617225</v>
      </c>
      <c r="G160" s="262"/>
      <c r="H160" s="262">
        <f>H157/H159</f>
        <v>1.5217391304347827</v>
      </c>
      <c r="I160" s="143"/>
      <c r="J160" s="262">
        <f>J157/J159</f>
        <v>1.1882574916759157</v>
      </c>
      <c r="K160" s="143"/>
      <c r="L160" s="432">
        <v>1.44</v>
      </c>
      <c r="M160" s="143"/>
      <c r="N160" s="262">
        <v>1.25</v>
      </c>
      <c r="O160" s="262"/>
      <c r="P160" s="262"/>
      <c r="Q160" s="247"/>
      <c r="R160" s="247"/>
      <c r="S160" s="56"/>
      <c r="T160" s="204"/>
    </row>
    <row r="161" spans="1:23" s="45" customFormat="1" ht="11.45" customHeight="1">
      <c r="A161" s="143"/>
      <c r="B161" s="143" t="s">
        <v>145</v>
      </c>
      <c r="C161" s="143"/>
      <c r="D161" s="143"/>
      <c r="E161" s="143"/>
      <c r="F161" s="158">
        <f>F89</f>
        <v>3.9359999999999999</v>
      </c>
      <c r="G161" s="158"/>
      <c r="H161" s="158">
        <f>H89</f>
        <v>4.8</v>
      </c>
      <c r="I161" s="158"/>
      <c r="J161" s="158">
        <f>J89</f>
        <v>8.7639999999999993</v>
      </c>
      <c r="K161" s="158"/>
      <c r="L161" s="158">
        <v>9.6</v>
      </c>
      <c r="M161" s="158"/>
      <c r="N161" s="158">
        <f>N89</f>
        <v>19.600000000000001</v>
      </c>
      <c r="O161" s="158"/>
      <c r="P161" s="158"/>
      <c r="Q161" s="247"/>
      <c r="R161" s="263"/>
      <c r="S161" s="57"/>
      <c r="T161" s="63"/>
    </row>
    <row r="162" spans="1:23" s="45" customFormat="1" ht="11.45" customHeight="1">
      <c r="A162" s="143"/>
      <c r="B162" s="143" t="s">
        <v>127</v>
      </c>
      <c r="C162" s="143"/>
      <c r="D162" s="143"/>
      <c r="E162" s="143"/>
      <c r="F162" s="158">
        <v>10.34</v>
      </c>
      <c r="G162" s="204"/>
      <c r="H162" s="158">
        <v>30.9</v>
      </c>
      <c r="I162" s="481"/>
      <c r="J162" s="433">
        <f>12.702+F162</f>
        <v>23.042000000000002</v>
      </c>
      <c r="K162" s="481"/>
      <c r="L162" s="143">
        <v>54.7</v>
      </c>
      <c r="M162" s="481"/>
      <c r="N162" s="158">
        <v>107</v>
      </c>
      <c r="O162" s="158"/>
      <c r="P162" s="158"/>
      <c r="Q162" s="247"/>
      <c r="R162" s="263"/>
      <c r="S162" s="57"/>
      <c r="T162" s="63"/>
    </row>
    <row r="163" spans="1:23" s="45" customFormat="1" ht="11.45" customHeight="1">
      <c r="A163" s="144"/>
      <c r="B163" s="144" t="s">
        <v>146</v>
      </c>
      <c r="C163" s="144"/>
      <c r="D163" s="144"/>
      <c r="E163" s="143"/>
      <c r="F163" s="202">
        <f>F73</f>
        <v>62.930999999999997</v>
      </c>
      <c r="G163" s="158"/>
      <c r="H163" s="202">
        <f>H73</f>
        <v>74.599999999999994</v>
      </c>
      <c r="I163" s="143"/>
      <c r="J163" s="445">
        <f>J73</f>
        <v>130.989</v>
      </c>
      <c r="K163" s="143"/>
      <c r="L163" s="144">
        <v>147.1</v>
      </c>
      <c r="M163" s="143"/>
      <c r="N163" s="202">
        <f>N73</f>
        <v>327.60000000000002</v>
      </c>
      <c r="O163" s="158"/>
      <c r="P163" s="158"/>
      <c r="Q163" s="247"/>
      <c r="R163" s="264"/>
      <c r="S163" s="57"/>
      <c r="T163" s="63"/>
    </row>
    <row r="164" spans="1:23" s="45" customFormat="1" ht="11.45" customHeight="1">
      <c r="A164" s="142"/>
      <c r="B164" s="142"/>
      <c r="C164" s="142"/>
      <c r="D164" s="142"/>
      <c r="E164" s="142"/>
      <c r="F164" s="261"/>
      <c r="G164" s="261"/>
      <c r="H164" s="261"/>
      <c r="I164" s="142"/>
      <c r="J164" s="142"/>
      <c r="K164" s="142"/>
      <c r="L164" s="142"/>
      <c r="M164" s="142"/>
      <c r="N164" s="261"/>
      <c r="O164" s="261"/>
      <c r="P164" s="261"/>
      <c r="Q164" s="261"/>
      <c r="R164" s="247"/>
      <c r="S164" s="109"/>
      <c r="T164" s="57"/>
    </row>
    <row r="165" spans="1:23" s="45" customFormat="1" ht="11.45" customHeight="1">
      <c r="A165" s="265"/>
      <c r="B165" s="266"/>
      <c r="C165" s="266"/>
      <c r="D165" s="266"/>
      <c r="E165" s="266"/>
      <c r="F165" s="247"/>
      <c r="G165" s="247"/>
      <c r="H165" s="247"/>
      <c r="I165" s="266"/>
      <c r="J165" s="266"/>
      <c r="K165" s="266"/>
      <c r="L165" s="266"/>
      <c r="M165" s="266"/>
      <c r="N165" s="247"/>
      <c r="O165" s="247"/>
      <c r="P165" s="247"/>
      <c r="Q165" s="247"/>
      <c r="R165" s="143"/>
      <c r="S165" s="56"/>
      <c r="T165" s="57"/>
    </row>
    <row r="166" spans="1:23" s="45" customFormat="1" ht="15" customHeight="1">
      <c r="A166" s="441" t="s">
        <v>220</v>
      </c>
      <c r="B166" s="440"/>
      <c r="C166" s="440"/>
      <c r="D166" s="440"/>
      <c r="E166" s="222"/>
      <c r="F166" s="222" t="s">
        <v>0</v>
      </c>
      <c r="G166" s="222"/>
      <c r="H166" s="222" t="s">
        <v>0</v>
      </c>
      <c r="I166" s="222"/>
      <c r="J166" s="222"/>
      <c r="K166" s="222"/>
      <c r="L166" s="222"/>
      <c r="M166" s="222"/>
      <c r="N166" s="222" t="s">
        <v>0</v>
      </c>
      <c r="O166" s="222"/>
      <c r="P166" s="222"/>
      <c r="Q166" s="493"/>
      <c r="R166" s="494"/>
      <c r="S166" s="495"/>
      <c r="T166" s="495"/>
      <c r="U166" s="84"/>
      <c r="V166" s="84"/>
      <c r="W166" s="83"/>
    </row>
    <row r="167" spans="1:23" s="45" customFormat="1" ht="11.45" customHeight="1">
      <c r="A167" s="483" t="s">
        <v>0</v>
      </c>
      <c r="B167" s="143"/>
      <c r="C167" s="143"/>
      <c r="D167" s="143"/>
      <c r="E167" s="143"/>
      <c r="F167" s="296"/>
      <c r="G167" s="240"/>
      <c r="H167" s="240"/>
      <c r="I167" s="143"/>
      <c r="J167" s="143"/>
      <c r="K167" s="143"/>
      <c r="L167" s="143"/>
      <c r="M167" s="143"/>
      <c r="N167" s="247"/>
      <c r="O167" s="240"/>
      <c r="P167" s="247"/>
      <c r="Q167" s="247"/>
      <c r="R167" s="143"/>
      <c r="S167" s="56"/>
      <c r="T167" s="57"/>
    </row>
    <row r="168" spans="1:23" s="45" customFormat="1" ht="11.45" customHeight="1" thickBot="1">
      <c r="A168" s="224" t="s">
        <v>155</v>
      </c>
      <c r="B168" s="224"/>
      <c r="C168" s="224"/>
      <c r="D168" s="224"/>
      <c r="E168" s="224"/>
      <c r="F168" s="258"/>
      <c r="G168" s="258"/>
      <c r="H168" s="258"/>
      <c r="I168" s="258"/>
      <c r="J168" s="258"/>
      <c r="K168" s="258"/>
      <c r="L168" s="258"/>
      <c r="M168" s="258"/>
      <c r="N168" s="258"/>
      <c r="O168" s="247"/>
      <c r="P168" s="247"/>
      <c r="Q168" s="108"/>
      <c r="R168" s="57"/>
      <c r="S168" s="63"/>
      <c r="T168" s="63"/>
    </row>
    <row r="169" spans="1:23" s="80" customFormat="1" ht="11.45" customHeight="1">
      <c r="A169" s="225"/>
      <c r="B169" s="225"/>
      <c r="C169" s="225"/>
      <c r="D169" s="225"/>
      <c r="E169" s="225"/>
      <c r="F169" s="528" t="s">
        <v>237</v>
      </c>
      <c r="G169" s="528"/>
      <c r="H169" s="528"/>
      <c r="I169" s="442"/>
      <c r="J169" s="473" t="s">
        <v>1</v>
      </c>
      <c r="K169" s="442"/>
      <c r="L169" s="442"/>
      <c r="M169" s="442"/>
      <c r="O169" s="478"/>
      <c r="P169" s="225"/>
    </row>
    <row r="170" spans="1:23" s="45" customFormat="1" ht="11.45" customHeight="1">
      <c r="A170" s="146" t="s">
        <v>107</v>
      </c>
      <c r="B170" s="144"/>
      <c r="C170" s="144"/>
      <c r="D170" s="144"/>
      <c r="E170" s="143"/>
      <c r="F170" s="295">
        <v>2016</v>
      </c>
      <c r="G170" s="229"/>
      <c r="H170" s="295">
        <v>2015</v>
      </c>
      <c r="I170" s="484"/>
      <c r="J170" s="230">
        <v>2015</v>
      </c>
      <c r="K170" s="484"/>
      <c r="L170" s="484"/>
      <c r="M170" s="484"/>
      <c r="N170" s="63"/>
      <c r="O170" s="248"/>
      <c r="P170" s="143"/>
      <c r="Q170" s="108"/>
      <c r="R170" s="57"/>
      <c r="S170" s="63"/>
      <c r="T170" s="63"/>
    </row>
    <row r="171" spans="1:23" ht="11.45" customHeight="1">
      <c r="A171" s="143"/>
      <c r="B171" s="205" t="s">
        <v>147</v>
      </c>
      <c r="C171" s="273"/>
      <c r="D171" s="273"/>
      <c r="E171" s="143"/>
      <c r="F171" s="158" t="s">
        <v>0</v>
      </c>
      <c r="G171" s="240"/>
      <c r="H171" s="53"/>
      <c r="I171" s="143"/>
      <c r="J171" s="158"/>
      <c r="K171" s="143"/>
      <c r="L171" s="143"/>
      <c r="M171" s="143"/>
      <c r="N171" s="53"/>
      <c r="O171" s="240"/>
      <c r="P171" s="240"/>
      <c r="Q171" s="240"/>
      <c r="R171" s="247"/>
      <c r="S171" s="140"/>
      <c r="T171" s="53"/>
    </row>
    <row r="172" spans="1:23" ht="11.45" customHeight="1">
      <c r="A172" s="143"/>
      <c r="B172" s="199" t="s">
        <v>223</v>
      </c>
      <c r="C172" s="273"/>
      <c r="D172" s="273"/>
      <c r="E172" s="143"/>
      <c r="F172" s="158">
        <v>391</v>
      </c>
      <c r="G172" s="240"/>
      <c r="H172" s="158">
        <v>395</v>
      </c>
      <c r="I172" s="143"/>
      <c r="J172" s="158">
        <v>393</v>
      </c>
      <c r="K172" s="143"/>
      <c r="L172" s="143"/>
      <c r="M172" s="143"/>
      <c r="N172" s="53"/>
      <c r="O172" s="240"/>
      <c r="P172" s="240"/>
      <c r="Q172" s="240"/>
      <c r="R172" s="247"/>
      <c r="S172" s="140"/>
      <c r="T172" s="53"/>
    </row>
    <row r="173" spans="1:23" ht="11.45" customHeight="1">
      <c r="A173" s="143"/>
      <c r="B173" s="199" t="s">
        <v>148</v>
      </c>
      <c r="C173" s="273"/>
      <c r="D173" s="273"/>
      <c r="E173" s="143"/>
      <c r="F173" s="158">
        <v>192.7</v>
      </c>
      <c r="G173" s="240"/>
      <c r="H173" s="158">
        <v>213.5</v>
      </c>
      <c r="I173" s="143"/>
      <c r="J173" s="158">
        <v>203.1</v>
      </c>
      <c r="K173" s="143"/>
      <c r="L173" s="143"/>
      <c r="M173" s="143"/>
      <c r="N173" s="53"/>
      <c r="O173" s="240"/>
      <c r="P173" s="240"/>
      <c r="Q173" s="240"/>
      <c r="R173" s="247"/>
      <c r="S173" s="140"/>
      <c r="T173" s="53"/>
    </row>
    <row r="174" spans="1:23" ht="11.45" customHeight="1">
      <c r="A174" s="143"/>
      <c r="B174" s="199" t="s">
        <v>149</v>
      </c>
      <c r="C174" s="273"/>
      <c r="D174" s="273"/>
      <c r="E174" s="143"/>
      <c r="F174" s="158">
        <v>198.6</v>
      </c>
      <c r="G174" s="240"/>
      <c r="H174" s="158">
        <v>38.1</v>
      </c>
      <c r="I174" s="143"/>
      <c r="J174" s="158">
        <v>76.099999999999994</v>
      </c>
      <c r="K174" s="143"/>
      <c r="L174" s="143"/>
      <c r="M174" s="143"/>
      <c r="N174" s="53"/>
      <c r="O174" s="240"/>
      <c r="P174" s="240"/>
      <c r="Q174" s="240"/>
      <c r="R174" s="247"/>
      <c r="S174" s="140"/>
      <c r="T174" s="53"/>
    </row>
    <row r="175" spans="1:23" ht="11.45" customHeight="1">
      <c r="A175" s="143"/>
      <c r="B175" s="199" t="s">
        <v>180</v>
      </c>
      <c r="C175" s="273"/>
      <c r="D175" s="273"/>
      <c r="E175" s="143"/>
      <c r="F175" s="158">
        <v>120</v>
      </c>
      <c r="G175" s="240"/>
      <c r="H175" s="158">
        <v>50</v>
      </c>
      <c r="I175" s="143"/>
      <c r="J175" s="158">
        <v>25</v>
      </c>
      <c r="K175" s="143"/>
      <c r="L175" s="143"/>
      <c r="M175" s="143"/>
      <c r="N175" s="53"/>
      <c r="O175" s="240"/>
      <c r="P175" s="240"/>
      <c r="Q175" s="240"/>
      <c r="R175" s="247"/>
      <c r="S175" s="140"/>
      <c r="T175" s="53"/>
    </row>
    <row r="176" spans="1:23" ht="11.45" customHeight="1">
      <c r="A176" s="143"/>
      <c r="B176" s="205" t="s">
        <v>150</v>
      </c>
      <c r="C176" s="273"/>
      <c r="D176" s="273"/>
      <c r="E176" s="143"/>
      <c r="F176" s="158"/>
      <c r="G176" s="240"/>
      <c r="H176" s="158"/>
      <c r="I176" s="143"/>
      <c r="J176" s="158"/>
      <c r="K176" s="143"/>
      <c r="L176" s="143"/>
      <c r="M176" s="143"/>
      <c r="N176" s="53"/>
      <c r="O176" s="240"/>
      <c r="P176" s="240"/>
      <c r="Q176" s="240"/>
      <c r="R176" s="247"/>
      <c r="S176" s="140"/>
      <c r="T176" s="53"/>
    </row>
    <row r="177" spans="1:20" ht="11.45" customHeight="1">
      <c r="A177" s="143"/>
      <c r="B177" s="199" t="s">
        <v>151</v>
      </c>
      <c r="C177" s="273"/>
      <c r="D177" s="273"/>
      <c r="E177" s="143"/>
      <c r="F177" s="158">
        <v>450</v>
      </c>
      <c r="G177" s="240"/>
      <c r="H177" s="202">
        <v>450</v>
      </c>
      <c r="I177" s="143"/>
      <c r="J177" s="158">
        <v>450</v>
      </c>
      <c r="K177" s="143"/>
      <c r="L177" s="143"/>
      <c r="M177" s="143"/>
      <c r="N177" s="53"/>
      <c r="O177" s="240"/>
      <c r="P177" s="240"/>
      <c r="Q177" s="240"/>
      <c r="R177" s="247"/>
      <c r="S177" s="140"/>
      <c r="T177" s="53"/>
    </row>
    <row r="178" spans="1:20" s="45" customFormat="1" ht="13.5" customHeight="1">
      <c r="A178" s="470"/>
      <c r="B178" s="470" t="s">
        <v>45</v>
      </c>
      <c r="C178" s="470"/>
      <c r="D178" s="470"/>
      <c r="E178" s="143"/>
      <c r="F178" s="160">
        <f>SUM(F172:F177)</f>
        <v>1352.3000000000002</v>
      </c>
      <c r="G178" s="158"/>
      <c r="H178" s="485">
        <f>SUM(H172:H177)</f>
        <v>1146.5999999999999</v>
      </c>
      <c r="I178" s="157"/>
      <c r="J178" s="160">
        <f>SUM(J172:J177)</f>
        <v>1147.2</v>
      </c>
      <c r="K178" s="157"/>
      <c r="L178" s="157"/>
      <c r="M178" s="157"/>
      <c r="N178" s="486"/>
      <c r="O178" s="247"/>
      <c r="P178" s="254"/>
      <c r="Q178" s="53"/>
      <c r="R178" s="56"/>
      <c r="S178" s="56"/>
      <c r="T178" s="63"/>
    </row>
    <row r="179" spans="1:20" s="45" customFormat="1" ht="11.45" customHeight="1">
      <c r="A179" s="143"/>
      <c r="B179" s="199" t="s">
        <v>152</v>
      </c>
      <c r="C179" s="142"/>
      <c r="D179" s="142"/>
      <c r="E179" s="143"/>
      <c r="F179" s="159">
        <v>-37.700000000000003</v>
      </c>
      <c r="G179" s="158"/>
      <c r="H179" s="158">
        <v>-24.8</v>
      </c>
      <c r="I179" s="157"/>
      <c r="J179" s="159">
        <v>-24.8</v>
      </c>
      <c r="K179" s="157"/>
      <c r="L179" s="157"/>
      <c r="M179" s="157"/>
      <c r="N179" s="63"/>
      <c r="O179" s="247"/>
      <c r="P179" s="254"/>
      <c r="Q179" s="53"/>
      <c r="R179" s="56"/>
      <c r="S179" s="56"/>
      <c r="T179" s="63"/>
    </row>
    <row r="180" spans="1:20" s="45" customFormat="1" ht="11.45" customHeight="1">
      <c r="A180" s="143"/>
      <c r="B180" s="487" t="s">
        <v>153</v>
      </c>
      <c r="C180" s="142"/>
      <c r="D180" s="142"/>
      <c r="E180" s="143"/>
      <c r="F180" s="159">
        <v>-24</v>
      </c>
      <c r="G180" s="158"/>
      <c r="H180" s="158">
        <v>-22.2</v>
      </c>
      <c r="I180" s="157"/>
      <c r="J180" s="159">
        <v>-22.5</v>
      </c>
      <c r="K180" s="157"/>
      <c r="L180" s="157"/>
      <c r="M180" s="157"/>
      <c r="N180" s="63"/>
      <c r="O180" s="247"/>
      <c r="P180" s="254"/>
      <c r="Q180" s="53"/>
      <c r="R180" s="510"/>
      <c r="S180" s="510"/>
      <c r="T180" s="63"/>
    </row>
    <row r="181" spans="1:20" s="62" customFormat="1" ht="11.45" customHeight="1">
      <c r="A181" s="145"/>
      <c r="B181" s="300" t="s">
        <v>154</v>
      </c>
      <c r="C181" s="145"/>
      <c r="D181" s="145"/>
      <c r="E181" s="301"/>
      <c r="F181" s="160">
        <f>SUM(F178:F180)</f>
        <v>1290.6000000000001</v>
      </c>
      <c r="G181" s="275"/>
      <c r="H181" s="160">
        <f>SUM(H178:H180)</f>
        <v>1099.5999999999999</v>
      </c>
      <c r="I181" s="301"/>
      <c r="J181" s="160">
        <f>SUM(J178:J180)</f>
        <v>1099.9000000000001</v>
      </c>
      <c r="K181" s="301"/>
      <c r="L181" s="301"/>
      <c r="M181" s="301"/>
      <c r="N181" s="488"/>
      <c r="O181" s="241"/>
      <c r="P181" s="241"/>
      <c r="Q181" s="275"/>
      <c r="R181" s="241"/>
      <c r="S181" s="511"/>
      <c r="T181" s="488"/>
    </row>
    <row r="182" spans="1:20" ht="11.45" customHeight="1">
      <c r="A182" s="143"/>
      <c r="B182" s="142"/>
      <c r="C182" s="142"/>
      <c r="D182" s="142"/>
      <c r="E182" s="143"/>
      <c r="F182" s="157"/>
      <c r="G182" s="158"/>
      <c r="H182" s="51"/>
      <c r="I182" s="143"/>
      <c r="J182" s="157"/>
      <c r="K182" s="143"/>
      <c r="L182" s="143"/>
      <c r="M182" s="143"/>
      <c r="N182" s="53"/>
      <c r="O182" s="158"/>
      <c r="P182" s="157"/>
      <c r="Q182" s="247"/>
      <c r="R182" s="254"/>
      <c r="S182" s="53"/>
      <c r="T182" s="53"/>
    </row>
    <row r="183" spans="1:20" ht="11.45" customHeight="1" thickBot="1">
      <c r="A183" s="281" t="s">
        <v>156</v>
      </c>
      <c r="B183" s="258"/>
      <c r="C183" s="281"/>
      <c r="D183" s="281"/>
      <c r="E183" s="224"/>
      <c r="F183" s="158"/>
      <c r="G183" s="240"/>
      <c r="H183" s="489"/>
      <c r="I183" s="358"/>
      <c r="J183" s="158"/>
      <c r="K183" s="141"/>
      <c r="L183" s="141"/>
      <c r="M183" s="141"/>
      <c r="N183" s="53"/>
      <c r="O183" s="240"/>
      <c r="P183" s="240"/>
      <c r="Q183" s="240"/>
      <c r="R183" s="247"/>
      <c r="S183" s="140"/>
      <c r="T183" s="53"/>
    </row>
    <row r="184" spans="1:20" s="80" customFormat="1" ht="11.45" customHeight="1">
      <c r="A184" s="225"/>
      <c r="B184" s="225"/>
      <c r="C184" s="225"/>
      <c r="D184" s="225"/>
      <c r="E184" s="225"/>
      <c r="F184" s="528" t="s">
        <v>237</v>
      </c>
      <c r="G184" s="528"/>
      <c r="H184" s="528"/>
      <c r="I184" s="442"/>
      <c r="J184" s="477" t="s">
        <v>1</v>
      </c>
      <c r="K184" s="442"/>
      <c r="L184" s="442"/>
      <c r="M184" s="442"/>
      <c r="O184" s="478"/>
      <c r="P184" s="225"/>
    </row>
    <row r="185" spans="1:20" ht="11.45" customHeight="1">
      <c r="A185" s="146" t="s">
        <v>107</v>
      </c>
      <c r="B185" s="144"/>
      <c r="C185" s="144"/>
      <c r="D185" s="144"/>
      <c r="E185" s="143"/>
      <c r="F185" s="295">
        <v>2016</v>
      </c>
      <c r="G185" s="229"/>
      <c r="H185" s="295">
        <v>2015</v>
      </c>
      <c r="I185" s="484"/>
      <c r="J185" s="230">
        <v>2015</v>
      </c>
      <c r="K185" s="484"/>
      <c r="L185" s="484"/>
      <c r="M185" s="484"/>
      <c r="N185" s="53"/>
      <c r="O185" s="248"/>
      <c r="P185" s="254"/>
      <c r="Q185" s="53"/>
      <c r="R185" s="53"/>
      <c r="S185" s="53"/>
      <c r="T185" s="53"/>
    </row>
    <row r="186" spans="1:20" ht="11.45" customHeight="1">
      <c r="A186" s="143"/>
      <c r="B186" s="205" t="s">
        <v>147</v>
      </c>
      <c r="C186" s="273"/>
      <c r="D186" s="273"/>
      <c r="E186" s="143"/>
      <c r="F186" s="158" t="s">
        <v>0</v>
      </c>
      <c r="G186" s="240"/>
      <c r="H186" s="53"/>
      <c r="I186" s="143"/>
      <c r="J186" s="158"/>
      <c r="K186" s="143"/>
      <c r="L186" s="143"/>
      <c r="M186" s="143"/>
      <c r="N186" s="53"/>
      <c r="O186" s="240"/>
      <c r="P186" s="240"/>
      <c r="Q186" s="240"/>
      <c r="R186" s="247"/>
      <c r="S186" s="140"/>
      <c r="T186" s="53"/>
    </row>
    <row r="187" spans="1:20" ht="11.45" customHeight="1">
      <c r="A187" s="143"/>
      <c r="B187" s="199" t="s">
        <v>181</v>
      </c>
      <c r="C187" s="273"/>
      <c r="D187" s="273"/>
      <c r="E187" s="143"/>
      <c r="F187" s="158">
        <v>380</v>
      </c>
      <c r="G187" s="240"/>
      <c r="H187" s="158">
        <v>450</v>
      </c>
      <c r="I187" s="143"/>
      <c r="J187" s="158">
        <v>475</v>
      </c>
      <c r="K187" s="143"/>
      <c r="L187" s="143"/>
      <c r="M187" s="143"/>
      <c r="N187" s="53"/>
      <c r="O187" s="240"/>
      <c r="P187" s="240"/>
      <c r="Q187" s="240"/>
      <c r="R187" s="247"/>
      <c r="S187" s="140"/>
      <c r="T187" s="53"/>
    </row>
    <row r="188" spans="1:20" ht="11.45" customHeight="1">
      <c r="A188" s="143"/>
      <c r="B188" s="199" t="s">
        <v>157</v>
      </c>
      <c r="C188" s="273"/>
      <c r="D188" s="273"/>
      <c r="E188" s="143"/>
      <c r="F188" s="158">
        <v>91.2</v>
      </c>
      <c r="G188" s="240"/>
      <c r="H188" s="158">
        <v>258.5</v>
      </c>
      <c r="I188" s="143"/>
      <c r="J188" s="158">
        <v>220.5</v>
      </c>
      <c r="K188" s="143"/>
      <c r="L188" s="143"/>
      <c r="M188" s="143"/>
      <c r="N188" s="53"/>
      <c r="O188" s="240"/>
      <c r="P188" s="240"/>
      <c r="Q188" s="240"/>
      <c r="R188" s="247"/>
      <c r="S188" s="140"/>
      <c r="T188" s="53"/>
    </row>
    <row r="189" spans="1:20" ht="11.45" customHeight="1">
      <c r="A189" s="143"/>
      <c r="B189" s="205" t="s">
        <v>150</v>
      </c>
      <c r="C189" s="273"/>
      <c r="D189" s="273"/>
      <c r="E189" s="143"/>
      <c r="F189" s="158"/>
      <c r="G189" s="240"/>
      <c r="H189" s="158"/>
      <c r="I189" s="143"/>
      <c r="J189" s="158"/>
      <c r="K189" s="143"/>
      <c r="L189" s="143"/>
      <c r="M189" s="143"/>
      <c r="N189" s="53"/>
      <c r="O189" s="240"/>
      <c r="P189" s="240"/>
      <c r="Q189" s="240"/>
      <c r="R189" s="247"/>
      <c r="S189" s="140"/>
      <c r="T189" s="53"/>
    </row>
    <row r="190" spans="1:20" ht="11.45" customHeight="1">
      <c r="A190" s="143"/>
      <c r="B190" s="199" t="s">
        <v>158</v>
      </c>
      <c r="C190" s="273"/>
      <c r="D190" s="273"/>
      <c r="E190" s="143"/>
      <c r="F190" s="158">
        <v>6</v>
      </c>
      <c r="G190" s="240"/>
      <c r="H190" s="158">
        <v>6.3</v>
      </c>
      <c r="I190" s="143"/>
      <c r="J190" s="158">
        <v>5.7</v>
      </c>
      <c r="K190" s="143"/>
      <c r="L190" s="143"/>
      <c r="M190" s="143"/>
      <c r="N190" s="486"/>
      <c r="O190" s="240"/>
      <c r="P190" s="240"/>
      <c r="Q190" s="240"/>
      <c r="R190" s="247"/>
      <c r="S190" s="140"/>
      <c r="T190" s="53"/>
    </row>
    <row r="191" spans="1:20" ht="11.45" customHeight="1">
      <c r="A191" s="143"/>
      <c r="B191" s="199" t="s">
        <v>159</v>
      </c>
      <c r="C191" s="273"/>
      <c r="D191" s="273"/>
      <c r="E191" s="143"/>
      <c r="F191" s="158">
        <v>1.3</v>
      </c>
      <c r="G191" s="240"/>
      <c r="H191" s="158">
        <v>16.3</v>
      </c>
      <c r="I191" s="143"/>
      <c r="J191" s="158">
        <v>10.7</v>
      </c>
      <c r="K191" s="143"/>
      <c r="L191" s="143"/>
      <c r="M191" s="143"/>
      <c r="N191" s="53"/>
      <c r="O191" s="240"/>
      <c r="P191" s="240"/>
      <c r="Q191" s="240"/>
      <c r="R191" s="247"/>
      <c r="S191" s="140"/>
      <c r="T191" s="53"/>
    </row>
    <row r="192" spans="1:20" s="62" customFormat="1" ht="11.45" customHeight="1">
      <c r="A192" s="145"/>
      <c r="B192" s="300" t="s">
        <v>45</v>
      </c>
      <c r="C192" s="145"/>
      <c r="D192" s="145"/>
      <c r="E192" s="301"/>
      <c r="F192" s="160">
        <f>SUM(F187:F191)</f>
        <v>478.5</v>
      </c>
      <c r="G192" s="275"/>
      <c r="H192" s="160">
        <f>SUM(H187:H191)</f>
        <v>731.09999999999991</v>
      </c>
      <c r="I192" s="301"/>
      <c r="J192" s="160">
        <f>SUM(J187:J191)</f>
        <v>711.90000000000009</v>
      </c>
      <c r="K192" s="301"/>
      <c r="L192" s="301"/>
      <c r="M192" s="301"/>
      <c r="N192" s="488"/>
      <c r="O192" s="241"/>
      <c r="P192" s="241"/>
      <c r="Q192" s="275"/>
      <c r="R192" s="241"/>
      <c r="S192" s="511"/>
      <c r="T192" s="488"/>
    </row>
    <row r="193" spans="1:24" ht="11.45" customHeight="1">
      <c r="A193" s="265"/>
      <c r="B193" s="266"/>
      <c r="C193" s="266"/>
      <c r="D193" s="266"/>
      <c r="E193" s="266"/>
      <c r="F193" s="247"/>
      <c r="G193" s="247"/>
      <c r="H193" s="51"/>
      <c r="I193" s="266"/>
      <c r="J193" s="247"/>
      <c r="K193" s="266"/>
      <c r="L193" s="266"/>
      <c r="M193" s="266"/>
      <c r="N193" s="53"/>
      <c r="O193" s="247"/>
      <c r="P193" s="247"/>
      <c r="Q193" s="247"/>
      <c r="R193" s="481"/>
      <c r="S193" s="60"/>
      <c r="T193" s="53"/>
      <c r="W193" s="53"/>
      <c r="X193" s="53"/>
    </row>
    <row r="194" spans="1:24" ht="11.45" customHeight="1" thickBot="1">
      <c r="A194" s="281" t="s">
        <v>95</v>
      </c>
      <c r="B194" s="258"/>
      <c r="C194" s="281"/>
      <c r="D194" s="281"/>
      <c r="E194" s="224"/>
      <c r="F194" s="158"/>
      <c r="G194" s="240"/>
      <c r="H194" s="489"/>
      <c r="I194" s="224"/>
      <c r="J194" s="158"/>
      <c r="K194" s="142"/>
      <c r="L194" s="142"/>
      <c r="M194" s="142"/>
      <c r="N194" s="53"/>
      <c r="O194" s="240"/>
      <c r="P194" s="240"/>
      <c r="Q194" s="240"/>
      <c r="R194" s="247"/>
      <c r="S194" s="140"/>
      <c r="T194" s="53"/>
    </row>
    <row r="195" spans="1:24" s="80" customFormat="1" ht="11.45" customHeight="1">
      <c r="A195" s="225"/>
      <c r="B195" s="225"/>
      <c r="C195" s="225"/>
      <c r="D195" s="225"/>
      <c r="E195" s="225"/>
      <c r="F195" s="528" t="s">
        <v>237</v>
      </c>
      <c r="G195" s="528"/>
      <c r="H195" s="528"/>
      <c r="I195" s="442"/>
      <c r="J195" s="477" t="s">
        <v>1</v>
      </c>
      <c r="K195" s="442"/>
      <c r="L195" s="442"/>
      <c r="M195" s="442"/>
      <c r="O195" s="478"/>
      <c r="P195" s="225"/>
    </row>
    <row r="196" spans="1:24" ht="11.45" customHeight="1">
      <c r="A196" s="146" t="s">
        <v>107</v>
      </c>
      <c r="B196" s="146"/>
      <c r="C196" s="146"/>
      <c r="D196" s="146"/>
      <c r="E196" s="143"/>
      <c r="F196" s="295">
        <v>2016</v>
      </c>
      <c r="G196" s="229"/>
      <c r="H196" s="295">
        <v>2015</v>
      </c>
      <c r="I196" s="247"/>
      <c r="J196" s="230">
        <v>2015</v>
      </c>
      <c r="K196" s="247"/>
      <c r="L196" s="247"/>
      <c r="M196" s="247"/>
      <c r="N196" s="53"/>
      <c r="O196" s="484"/>
      <c r="P196" s="143"/>
      <c r="Q196" s="53"/>
      <c r="R196" s="53"/>
      <c r="S196" s="53"/>
      <c r="T196" s="53"/>
    </row>
    <row r="197" spans="1:24" ht="11.45" customHeight="1">
      <c r="A197" s="259"/>
      <c r="B197" s="259"/>
      <c r="C197" s="259"/>
      <c r="D197" s="259"/>
      <c r="E197" s="143"/>
      <c r="F197" s="490" t="s">
        <v>0</v>
      </c>
      <c r="G197" s="490"/>
      <c r="H197" s="53"/>
      <c r="I197" s="490"/>
      <c r="J197" s="490"/>
      <c r="K197" s="490"/>
      <c r="L197" s="490"/>
      <c r="M197" s="490"/>
      <c r="N197" s="53"/>
      <c r="O197" s="491"/>
      <c r="P197" s="143"/>
      <c r="Q197" s="53"/>
      <c r="R197" s="53"/>
      <c r="S197" s="53"/>
      <c r="T197" s="53"/>
    </row>
    <row r="198" spans="1:24" ht="11.45" customHeight="1">
      <c r="A198" s="143"/>
      <c r="B198" s="199" t="s">
        <v>2</v>
      </c>
      <c r="C198" s="273"/>
      <c r="D198" s="273"/>
      <c r="E198" s="143"/>
      <c r="F198" s="158">
        <v>49.7</v>
      </c>
      <c r="G198" s="240"/>
      <c r="H198" s="158">
        <f>BS!I7</f>
        <v>57.6</v>
      </c>
      <c r="I198" s="143"/>
      <c r="J198" s="158">
        <v>81.599999999999994</v>
      </c>
      <c r="K198" s="143"/>
      <c r="L198" s="143"/>
      <c r="M198" s="143"/>
      <c r="N198" s="53"/>
      <c r="O198" s="240"/>
      <c r="P198" s="240"/>
      <c r="Q198" s="240"/>
      <c r="R198" s="247"/>
      <c r="S198" s="140"/>
      <c r="T198" s="53"/>
    </row>
    <row r="199" spans="1:24" ht="11.45" customHeight="1">
      <c r="A199" s="142"/>
      <c r="B199" s="199" t="s">
        <v>47</v>
      </c>
      <c r="C199" s="142"/>
      <c r="D199" s="142"/>
      <c r="E199" s="143"/>
      <c r="F199" s="158">
        <v>95</v>
      </c>
      <c r="G199" s="275"/>
      <c r="H199" s="158">
        <v>82.9</v>
      </c>
      <c r="I199" s="143"/>
      <c r="J199" s="158">
        <v>71.5</v>
      </c>
      <c r="K199" s="143"/>
      <c r="L199" s="143"/>
      <c r="M199" s="143"/>
      <c r="N199" s="53"/>
      <c r="O199" s="275"/>
      <c r="P199" s="241"/>
      <c r="Q199" s="275"/>
      <c r="R199" s="241"/>
      <c r="S199" s="140"/>
      <c r="T199" s="53"/>
    </row>
    <row r="200" spans="1:24" ht="11.45" customHeight="1">
      <c r="A200" s="143"/>
      <c r="B200" s="199" t="s">
        <v>46</v>
      </c>
      <c r="C200" s="273"/>
      <c r="D200" s="273"/>
      <c r="E200" s="143"/>
      <c r="F200" s="158">
        <v>0</v>
      </c>
      <c r="G200" s="240"/>
      <c r="H200" s="158">
        <v>11.163</v>
      </c>
      <c r="I200" s="143"/>
      <c r="J200" s="158">
        <v>0</v>
      </c>
      <c r="K200" s="143"/>
      <c r="L200" s="143"/>
      <c r="M200" s="143"/>
      <c r="N200" s="53"/>
      <c r="O200" s="240"/>
      <c r="P200" s="240"/>
      <c r="Q200" s="240"/>
      <c r="R200" s="247"/>
      <c r="S200" s="140"/>
      <c r="T200" s="53"/>
    </row>
    <row r="201" spans="1:24" ht="11.45" customHeight="1">
      <c r="A201" s="142"/>
      <c r="B201" s="199" t="s">
        <v>15</v>
      </c>
      <c r="C201" s="142"/>
      <c r="D201" s="142"/>
      <c r="E201" s="143"/>
      <c r="F201" s="158">
        <v>-37.700000000000003</v>
      </c>
      <c r="G201" s="275"/>
      <c r="H201" s="158">
        <f>-BS!I24</f>
        <v>-24.8</v>
      </c>
      <c r="I201" s="143"/>
      <c r="J201" s="158">
        <v>-24.8</v>
      </c>
      <c r="K201" s="143"/>
      <c r="L201" s="143"/>
      <c r="M201" s="143"/>
      <c r="N201" s="486"/>
      <c r="O201" s="275"/>
      <c r="P201" s="241"/>
      <c r="Q201" s="275"/>
      <c r="R201" s="241"/>
      <c r="S201" s="140"/>
      <c r="T201" s="53"/>
    </row>
    <row r="202" spans="1:24" ht="11.45" customHeight="1">
      <c r="A202" s="143"/>
      <c r="B202" s="199" t="s">
        <v>184</v>
      </c>
      <c r="C202" s="273"/>
      <c r="D202" s="273"/>
      <c r="E202" s="143"/>
      <c r="F202" s="158">
        <v>-1290.5999999999999</v>
      </c>
      <c r="G202" s="240"/>
      <c r="H202" s="158">
        <f>-BS!I29</f>
        <v>-1099.5999999999999</v>
      </c>
      <c r="I202" s="143"/>
      <c r="J202" s="158">
        <v>-1099.9000000000001</v>
      </c>
      <c r="K202" s="143"/>
      <c r="L202" s="143"/>
      <c r="M202" s="143"/>
      <c r="N202" s="53"/>
      <c r="O202" s="240"/>
      <c r="P202" s="240"/>
      <c r="Q202" s="240"/>
      <c r="R202" s="247"/>
      <c r="S202" s="140"/>
      <c r="T202" s="53"/>
    </row>
    <row r="203" spans="1:24" ht="11.45" customHeight="1">
      <c r="A203" s="142"/>
      <c r="B203" s="199" t="s">
        <v>118</v>
      </c>
      <c r="C203" s="142"/>
      <c r="D203" s="142"/>
      <c r="E203" s="143"/>
      <c r="F203" s="158">
        <v>-24</v>
      </c>
      <c r="G203" s="275"/>
      <c r="H203" s="158">
        <v>-22.2</v>
      </c>
      <c r="I203" s="143"/>
      <c r="J203" s="158">
        <v>-22.5</v>
      </c>
      <c r="K203" s="143"/>
      <c r="L203" s="143"/>
      <c r="M203" s="143"/>
      <c r="N203" s="53"/>
      <c r="O203" s="241"/>
      <c r="P203" s="241"/>
      <c r="Q203" s="275"/>
      <c r="R203" s="241"/>
      <c r="S203" s="140"/>
      <c r="T203" s="53"/>
    </row>
    <row r="204" spans="1:24" s="62" customFormat="1" ht="11.45" customHeight="1">
      <c r="A204" s="145"/>
      <c r="B204" s="300" t="s">
        <v>45</v>
      </c>
      <c r="C204" s="145"/>
      <c r="D204" s="145"/>
      <c r="E204" s="301"/>
      <c r="F204" s="160">
        <f>SUM(F198:F203)</f>
        <v>-1207.5999999999999</v>
      </c>
      <c r="G204" s="275"/>
      <c r="H204" s="160">
        <f>SUM(H198:H203)-0.1</f>
        <v>-995.03699999999992</v>
      </c>
      <c r="I204" s="301"/>
      <c r="J204" s="160">
        <f>SUM(J198:J203)-0.1</f>
        <v>-994.20000000000016</v>
      </c>
      <c r="K204" s="301"/>
      <c r="L204" s="301"/>
      <c r="M204" s="301"/>
      <c r="N204" s="488"/>
      <c r="O204" s="241"/>
      <c r="P204" s="241"/>
      <c r="Q204" s="275"/>
      <c r="R204" s="241"/>
      <c r="S204" s="511"/>
      <c r="T204" s="488"/>
    </row>
    <row r="205" spans="1:24" ht="11.45" customHeight="1">
      <c r="A205" s="265"/>
      <c r="B205" s="268"/>
      <c r="C205" s="268"/>
      <c r="D205" s="268"/>
      <c r="E205" s="268"/>
      <c r="F205" s="351"/>
      <c r="G205" s="351"/>
      <c r="H205" s="351"/>
      <c r="I205" s="351"/>
      <c r="J205" s="351"/>
      <c r="K205" s="351"/>
      <c r="L205" s="351"/>
      <c r="M205" s="351"/>
      <c r="N205" s="142"/>
      <c r="O205" s="351">
        <f t="shared" ref="O205" si="0">O204-O198-O199-O200</f>
        <v>0</v>
      </c>
      <c r="P205" s="481"/>
      <c r="Q205" s="53"/>
      <c r="R205" s="53"/>
      <c r="S205" s="53"/>
      <c r="T205" s="53"/>
    </row>
    <row r="206" spans="1:24" ht="11.45" customHeight="1">
      <c r="A206" s="269" t="s">
        <v>0</v>
      </c>
      <c r="B206" s="168"/>
      <c r="C206" s="270"/>
      <c r="D206" s="246"/>
      <c r="E206" s="246"/>
      <c r="F206" s="255"/>
      <c r="G206" s="255"/>
      <c r="H206" s="255"/>
      <c r="I206" s="246"/>
      <c r="J206" s="246"/>
      <c r="K206" s="246"/>
      <c r="L206" s="246"/>
      <c r="M206" s="246"/>
      <c r="N206" s="255"/>
      <c r="O206" s="255"/>
      <c r="P206" s="257"/>
      <c r="Q206" s="253"/>
      <c r="R206" s="255"/>
      <c r="S206" s="53"/>
      <c r="T206" s="53"/>
    </row>
    <row r="207" spans="1:24" s="45" customFormat="1" ht="15" customHeight="1">
      <c r="A207" s="220" t="s">
        <v>221</v>
      </c>
      <c r="B207" s="223"/>
      <c r="C207" s="223"/>
      <c r="D207" s="223"/>
      <c r="E207" s="221"/>
      <c r="F207" s="221" t="s">
        <v>0</v>
      </c>
      <c r="G207" s="221"/>
      <c r="H207" s="221" t="s">
        <v>0</v>
      </c>
      <c r="I207" s="221"/>
      <c r="J207" s="221"/>
      <c r="K207" s="221"/>
      <c r="L207" s="221"/>
      <c r="M207" s="221"/>
      <c r="N207" s="221" t="s">
        <v>0</v>
      </c>
      <c r="O207" s="221"/>
      <c r="P207" s="222"/>
      <c r="Q207" s="493"/>
      <c r="R207" s="494"/>
      <c r="S207" s="495"/>
      <c r="T207" s="495"/>
      <c r="U207" s="84"/>
      <c r="V207" s="84"/>
      <c r="W207" s="83"/>
    </row>
    <row r="208" spans="1:24" ht="11.45" customHeight="1">
      <c r="A208" s="269"/>
      <c r="B208" s="168"/>
      <c r="C208" s="270"/>
      <c r="D208" s="246"/>
      <c r="E208" s="246"/>
      <c r="F208" s="255"/>
      <c r="G208" s="255"/>
      <c r="H208" s="255"/>
      <c r="I208" s="246"/>
      <c r="J208" s="246"/>
      <c r="K208" s="246"/>
      <c r="L208" s="246"/>
      <c r="M208" s="246"/>
      <c r="N208" s="255"/>
      <c r="O208" s="255"/>
      <c r="P208" s="257"/>
      <c r="Q208" s="253"/>
      <c r="R208" s="255"/>
      <c r="S208" s="53"/>
      <c r="T208" s="53"/>
    </row>
    <row r="209" spans="1:24" ht="11.45" customHeight="1" thickBot="1">
      <c r="A209" s="312" t="s">
        <v>29</v>
      </c>
      <c r="B209" s="203"/>
      <c r="C209" s="224"/>
      <c r="D209" s="224"/>
      <c r="E209" s="224"/>
      <c r="F209" s="279"/>
      <c r="G209" s="280"/>
      <c r="H209" s="281"/>
      <c r="I209" s="224"/>
      <c r="J209" s="224"/>
      <c r="K209" s="224"/>
      <c r="L209" s="224"/>
      <c r="M209" s="224"/>
      <c r="N209" s="281"/>
      <c r="O209" s="280"/>
      <c r="P209" s="280"/>
      <c r="Q209" s="275"/>
      <c r="R209" s="241"/>
      <c r="S209" s="140"/>
      <c r="T209" s="53"/>
    </row>
    <row r="210" spans="1:24" ht="11.45" customHeight="1">
      <c r="A210" s="282" t="s">
        <v>0</v>
      </c>
      <c r="B210" s="273"/>
      <c r="C210" s="266"/>
      <c r="D210" s="266"/>
      <c r="E210" s="266"/>
      <c r="F210" s="526" t="s">
        <v>6</v>
      </c>
      <c r="G210" s="526"/>
      <c r="H210" s="526"/>
      <c r="I210" s="266"/>
      <c r="J210" s="530" t="s">
        <v>238</v>
      </c>
      <c r="K210" s="530"/>
      <c r="L210" s="530"/>
      <c r="M210" s="266"/>
      <c r="N210" s="398" t="s">
        <v>21</v>
      </c>
      <c r="O210" s="398"/>
      <c r="P210" s="442"/>
      <c r="Q210" s="247"/>
      <c r="R210" s="481"/>
      <c r="S210" s="53"/>
      <c r="T210" s="53"/>
    </row>
    <row r="211" spans="1:24" ht="11.45" customHeight="1">
      <c r="A211" s="265"/>
      <c r="B211" s="273"/>
      <c r="C211" s="266"/>
      <c r="D211" s="266"/>
      <c r="E211" s="266"/>
      <c r="F211" s="527" t="s">
        <v>237</v>
      </c>
      <c r="G211" s="527"/>
      <c r="H211" s="527"/>
      <c r="I211" s="266"/>
      <c r="J211" s="525" t="s">
        <v>237</v>
      </c>
      <c r="K211" s="525"/>
      <c r="L211" s="525"/>
      <c r="M211" s="266"/>
      <c r="N211" s="396" t="s">
        <v>1</v>
      </c>
      <c r="O211" s="396"/>
      <c r="P211" s="442"/>
      <c r="Q211" s="247"/>
      <c r="R211" s="481"/>
      <c r="S211" s="53"/>
      <c r="T211" s="53"/>
    </row>
    <row r="212" spans="1:24" ht="11.45" customHeight="1">
      <c r="A212" s="282" t="s">
        <v>0</v>
      </c>
      <c r="B212" s="282"/>
      <c r="C212" s="183"/>
      <c r="D212" s="283"/>
      <c r="E212" s="183"/>
      <c r="F212" s="295">
        <v>2016</v>
      </c>
      <c r="G212" s="229"/>
      <c r="H212" s="230">
        <v>2015</v>
      </c>
      <c r="I212" s="183"/>
      <c r="J212" s="410">
        <v>2016</v>
      </c>
      <c r="K212" s="225"/>
      <c r="L212" s="410">
        <v>2015</v>
      </c>
      <c r="M212" s="183"/>
      <c r="N212" s="230">
        <v>2015</v>
      </c>
      <c r="O212" s="229"/>
      <c r="P212" s="484"/>
      <c r="Q212" s="284"/>
      <c r="R212" s="284"/>
      <c r="S212" s="53"/>
      <c r="T212" s="53"/>
    </row>
    <row r="213" spans="1:24" ht="11.45" customHeight="1">
      <c r="A213" s="179" t="s">
        <v>30</v>
      </c>
      <c r="B213" s="188"/>
      <c r="C213" s="282"/>
      <c r="D213" s="285"/>
      <c r="E213" s="282"/>
      <c r="F213" s="402">
        <v>-0.22</v>
      </c>
      <c r="G213" s="375"/>
      <c r="H213" s="287">
        <v>-0.3</v>
      </c>
      <c r="I213" s="376"/>
      <c r="J213" s="402">
        <f>-0.24+F213</f>
        <v>-0.45999999999999996</v>
      </c>
      <c r="K213" s="376"/>
      <c r="L213" s="287">
        <v>-0.39</v>
      </c>
      <c r="M213" s="376"/>
      <c r="N213" s="287">
        <v>-2.4300000000000002</v>
      </c>
      <c r="O213" s="286"/>
      <c r="P213" s="512"/>
      <c r="Q213" s="284"/>
      <c r="R213" s="284"/>
      <c r="S213" s="53"/>
      <c r="T213" s="53"/>
    </row>
    <row r="214" spans="1:24" ht="11.45" customHeight="1">
      <c r="A214" s="288" t="s">
        <v>109</v>
      </c>
      <c r="B214" s="288"/>
      <c r="C214" s="289"/>
      <c r="D214" s="288"/>
      <c r="E214" s="159"/>
      <c r="F214" s="290">
        <v>-0.22</v>
      </c>
      <c r="G214" s="360"/>
      <c r="H214" s="290">
        <v>-0.3</v>
      </c>
      <c r="I214" s="362"/>
      <c r="J214" s="290">
        <v>-0.45</v>
      </c>
      <c r="K214" s="362"/>
      <c r="L214" s="290">
        <v>-0.39</v>
      </c>
      <c r="M214" s="362"/>
      <c r="N214" s="290">
        <v>-2.42</v>
      </c>
      <c r="O214" s="158"/>
      <c r="P214" s="512"/>
      <c r="Q214" s="291"/>
      <c r="R214" s="291"/>
      <c r="S214" s="53"/>
      <c r="T214" s="53"/>
    </row>
    <row r="215" spans="1:24" ht="11.45" customHeight="1">
      <c r="A215" s="292" t="s">
        <v>43</v>
      </c>
      <c r="B215" s="212"/>
      <c r="C215" s="293"/>
      <c r="D215" s="197"/>
      <c r="E215" s="293"/>
      <c r="F215" s="298">
        <v>238375544</v>
      </c>
      <c r="G215" s="299"/>
      <c r="H215" s="284">
        <v>214272550</v>
      </c>
      <c r="I215" s="299"/>
      <c r="J215" s="298">
        <v>238279985</v>
      </c>
      <c r="K215" s="293"/>
      <c r="L215" s="284">
        <v>214194199</v>
      </c>
      <c r="M215" s="293"/>
      <c r="N215" s="284">
        <v>217310643</v>
      </c>
      <c r="O215" s="299"/>
      <c r="P215" s="284"/>
      <c r="Q215" s="513"/>
      <c r="R215" s="513"/>
      <c r="S215" s="53"/>
      <c r="T215" s="53"/>
    </row>
    <row r="216" spans="1:24" ht="11.45" customHeight="1">
      <c r="A216" s="292" t="s">
        <v>110</v>
      </c>
      <c r="B216" s="212"/>
      <c r="C216" s="293"/>
      <c r="D216" s="197"/>
      <c r="E216" s="293"/>
      <c r="F216" s="298">
        <v>239187079</v>
      </c>
      <c r="G216" s="299"/>
      <c r="H216" s="284">
        <v>215180046</v>
      </c>
      <c r="I216" s="299"/>
      <c r="J216" s="298">
        <v>239166416</v>
      </c>
      <c r="K216" s="293"/>
      <c r="L216" s="284">
        <v>215086173</v>
      </c>
      <c r="M216" s="293"/>
      <c r="N216" s="284">
        <v>218441710</v>
      </c>
      <c r="O216" s="299"/>
      <c r="P216" s="284"/>
      <c r="Q216" s="513"/>
      <c r="R216" s="513"/>
      <c r="S216" s="53"/>
      <c r="T216" s="53"/>
    </row>
    <row r="217" spans="1:24" ht="11.45" customHeight="1">
      <c r="A217" s="292"/>
      <c r="B217" s="212"/>
      <c r="C217" s="293"/>
      <c r="D217" s="197"/>
      <c r="E217" s="293"/>
      <c r="F217" s="298"/>
      <c r="G217" s="299"/>
      <c r="H217" s="284"/>
      <c r="I217" s="293"/>
      <c r="J217" s="293"/>
      <c r="K217" s="293"/>
      <c r="L217" s="293"/>
      <c r="M217" s="293"/>
      <c r="N217" s="284"/>
      <c r="O217" s="299"/>
      <c r="P217" s="284"/>
      <c r="Q217" s="513"/>
      <c r="R217" s="513"/>
      <c r="S217" s="53"/>
      <c r="T217" s="53"/>
    </row>
    <row r="218" spans="1:24" ht="11.45" customHeight="1">
      <c r="A218" s="292"/>
      <c r="B218" s="212"/>
      <c r="C218" s="293"/>
      <c r="D218" s="197"/>
      <c r="E218" s="293"/>
      <c r="F218" s="298"/>
      <c r="G218" s="299"/>
      <c r="H218" s="284"/>
      <c r="I218" s="293"/>
      <c r="J218" s="293"/>
      <c r="K218" s="293"/>
      <c r="L218" s="293"/>
      <c r="M218" s="293"/>
      <c r="N218" s="284"/>
      <c r="O218" s="299"/>
      <c r="P218" s="284"/>
      <c r="Q218" s="513"/>
      <c r="R218" s="513"/>
      <c r="S218" s="53"/>
      <c r="T218" s="53"/>
    </row>
    <row r="219" spans="1:24" s="45" customFormat="1" ht="15" customHeight="1">
      <c r="A219" s="220" t="s">
        <v>231</v>
      </c>
      <c r="B219" s="223"/>
      <c r="C219" s="223"/>
      <c r="D219" s="223"/>
      <c r="E219" s="221"/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2"/>
      <c r="Q219" s="493"/>
      <c r="R219" s="494"/>
      <c r="S219" s="495"/>
      <c r="T219" s="495"/>
      <c r="U219" s="84"/>
      <c r="V219" s="84"/>
      <c r="W219" s="83"/>
    </row>
    <row r="220" spans="1:24" ht="11.45" customHeight="1">
      <c r="A220" s="292"/>
      <c r="B220" s="212"/>
      <c r="C220" s="293"/>
      <c r="D220" s="197"/>
      <c r="E220" s="293"/>
      <c r="F220" s="298"/>
      <c r="G220" s="299"/>
      <c r="H220" s="284"/>
      <c r="I220" s="293"/>
      <c r="J220" s="293"/>
      <c r="K220" s="293"/>
      <c r="L220" s="293"/>
      <c r="M220" s="293"/>
      <c r="N220" s="284"/>
      <c r="O220" s="299"/>
      <c r="P220" s="284"/>
      <c r="Q220" s="513"/>
      <c r="R220" s="513"/>
      <c r="S220" s="53"/>
      <c r="T220" s="53"/>
    </row>
    <row r="221" spans="1:24" s="45" customFormat="1" ht="11.45" customHeight="1" thickBot="1">
      <c r="A221" s="224" t="s">
        <v>232</v>
      </c>
      <c r="B221" s="224"/>
      <c r="C221" s="224"/>
      <c r="D221" s="271"/>
      <c r="E221" s="258"/>
      <c r="F221" s="258"/>
      <c r="G221" s="258"/>
      <c r="H221" s="258"/>
      <c r="I221" s="258"/>
      <c r="J221" s="258"/>
      <c r="K221" s="258"/>
      <c r="L221" s="258"/>
      <c r="M221" s="258"/>
      <c r="N221" s="258"/>
      <c r="O221" s="258"/>
      <c r="P221" s="258"/>
      <c r="Q221" s="253"/>
      <c r="R221" s="257"/>
      <c r="S221" s="63"/>
      <c r="T221" s="510"/>
      <c r="U221" s="73"/>
      <c r="V221" s="73"/>
      <c r="W221" s="73"/>
      <c r="X221" s="64"/>
    </row>
    <row r="222" spans="1:24" s="80" customFormat="1" ht="11.45" customHeight="1">
      <c r="A222" s="225"/>
      <c r="B222" s="225"/>
      <c r="C222" s="225"/>
      <c r="D222" s="225"/>
      <c r="E222" s="225"/>
      <c r="F222" s="526" t="s">
        <v>6</v>
      </c>
      <c r="G222" s="526"/>
      <c r="H222" s="526"/>
      <c r="I222" s="225"/>
      <c r="J222" s="530" t="s">
        <v>238</v>
      </c>
      <c r="K222" s="530"/>
      <c r="L222" s="530"/>
      <c r="M222" s="225"/>
      <c r="N222" s="398" t="s">
        <v>21</v>
      </c>
      <c r="O222" s="398"/>
      <c r="P222" s="442"/>
      <c r="Q222" s="478"/>
      <c r="R222" s="225"/>
    </row>
    <row r="223" spans="1:24" s="80" customFormat="1" ht="11.45" customHeight="1">
      <c r="A223" s="225"/>
      <c r="B223" s="225"/>
      <c r="C223" s="225"/>
      <c r="D223" s="225"/>
      <c r="E223" s="225"/>
      <c r="F223" s="527" t="s">
        <v>237</v>
      </c>
      <c r="G223" s="527"/>
      <c r="H223" s="527"/>
      <c r="I223" s="225"/>
      <c r="J223" s="525" t="s">
        <v>237</v>
      </c>
      <c r="K223" s="525"/>
      <c r="L223" s="525"/>
      <c r="M223" s="225"/>
      <c r="N223" s="396" t="s">
        <v>1</v>
      </c>
      <c r="O223" s="396"/>
      <c r="P223" s="442"/>
      <c r="Q223" s="478"/>
      <c r="R223" s="225"/>
    </row>
    <row r="224" spans="1:24" ht="11.45" customHeight="1">
      <c r="A224" s="244" t="s">
        <v>107</v>
      </c>
      <c r="B224" s="146"/>
      <c r="C224" s="146"/>
      <c r="D224" s="146"/>
      <c r="E224" s="143"/>
      <c r="F224" s="295">
        <v>2016</v>
      </c>
      <c r="G224" s="229"/>
      <c r="H224" s="230">
        <v>2015</v>
      </c>
      <c r="I224" s="143"/>
      <c r="J224" s="410">
        <v>2016</v>
      </c>
      <c r="K224" s="225"/>
      <c r="L224" s="410">
        <v>2015</v>
      </c>
      <c r="M224" s="143"/>
      <c r="N224" s="230">
        <v>2015</v>
      </c>
      <c r="O224" s="229"/>
      <c r="P224" s="484"/>
      <c r="Q224" s="248" t="s">
        <v>0</v>
      </c>
      <c r="R224" s="248"/>
      <c r="S224" s="514"/>
      <c r="T224" s="53"/>
    </row>
    <row r="225" spans="1:20" ht="11.45" customHeight="1">
      <c r="A225" s="259"/>
      <c r="B225" s="259"/>
      <c r="C225" s="259"/>
      <c r="D225" s="259"/>
      <c r="E225" s="143"/>
      <c r="F225" s="169"/>
      <c r="G225" s="169"/>
      <c r="H225" s="169"/>
      <c r="I225" s="143"/>
      <c r="J225" s="143"/>
      <c r="K225" s="143"/>
      <c r="L225" s="143"/>
      <c r="M225" s="143"/>
      <c r="N225" s="169"/>
      <c r="O225" s="169"/>
      <c r="P225" s="169"/>
      <c r="Q225" s="169"/>
      <c r="R225" s="169"/>
      <c r="S225" s="140"/>
      <c r="T225" s="53"/>
    </row>
    <row r="226" spans="1:20" ht="11.45" customHeight="1">
      <c r="A226" s="143"/>
      <c r="B226" s="143" t="s">
        <v>167</v>
      </c>
      <c r="C226" s="143"/>
      <c r="D226" s="143"/>
      <c r="E226" s="143"/>
      <c r="F226" s="158">
        <v>-4.8</v>
      </c>
      <c r="G226" s="272"/>
      <c r="H226" s="158">
        <v>1.3</v>
      </c>
      <c r="I226" s="277"/>
      <c r="J226" s="158">
        <v>-11.5</v>
      </c>
      <c r="K226" s="277"/>
      <c r="L226" s="158">
        <v>-3</v>
      </c>
      <c r="M226" s="277"/>
      <c r="N226" s="158">
        <v>3</v>
      </c>
      <c r="O226" s="239"/>
      <c r="P226" s="239"/>
      <c r="Q226" s="239"/>
      <c r="R226" s="239"/>
      <c r="S226" s="140"/>
      <c r="T226" s="53"/>
    </row>
    <row r="227" spans="1:20" ht="11.45" customHeight="1">
      <c r="A227" s="143"/>
      <c r="B227" s="199" t="s">
        <v>168</v>
      </c>
      <c r="C227" s="273"/>
      <c r="D227" s="273"/>
      <c r="E227" s="143"/>
      <c r="F227" s="158">
        <v>0.9</v>
      </c>
      <c r="G227" s="274"/>
      <c r="H227" s="158">
        <v>-0.3</v>
      </c>
      <c r="I227" s="277"/>
      <c r="J227" s="158">
        <f>1.2+F227</f>
        <v>2.1</v>
      </c>
      <c r="K227" s="277"/>
      <c r="L227" s="277">
        <v>0.6</v>
      </c>
      <c r="M227" s="277"/>
      <c r="N227" s="158">
        <v>-1.7</v>
      </c>
      <c r="O227" s="240"/>
      <c r="P227" s="240"/>
      <c r="Q227" s="240"/>
      <c r="R227" s="240"/>
      <c r="S227" s="140"/>
      <c r="T227" s="53"/>
    </row>
    <row r="228" spans="1:20" s="62" customFormat="1" ht="11.45" customHeight="1">
      <c r="A228" s="145"/>
      <c r="B228" s="300" t="s">
        <v>135</v>
      </c>
      <c r="C228" s="145"/>
      <c r="D228" s="145"/>
      <c r="E228" s="301"/>
      <c r="F228" s="160">
        <f>SUM(F226:F227)</f>
        <v>-3.9</v>
      </c>
      <c r="G228" s="378"/>
      <c r="H228" s="160">
        <f>SUM(H226:H227)</f>
        <v>1</v>
      </c>
      <c r="I228" s="379"/>
      <c r="J228" s="413">
        <f>SUM(J226:J227)</f>
        <v>-9.4</v>
      </c>
      <c r="K228" s="379"/>
      <c r="L228" s="413">
        <f>SUM(L226:L227)</f>
        <v>-2.4</v>
      </c>
      <c r="M228" s="379"/>
      <c r="N228" s="160">
        <f>SUM(N226:N227)</f>
        <v>1.3</v>
      </c>
      <c r="O228" s="275"/>
      <c r="P228" s="241"/>
      <c r="Q228" s="275"/>
      <c r="R228" s="241"/>
      <c r="S228" s="511"/>
      <c r="T228" s="488"/>
    </row>
    <row r="229" spans="1:20" ht="11.45" customHeight="1">
      <c r="A229" s="276"/>
      <c r="B229" s="205" t="s">
        <v>169</v>
      </c>
      <c r="C229" s="168"/>
      <c r="D229" s="168"/>
      <c r="E229" s="219"/>
      <c r="F229" s="158"/>
      <c r="G229" s="380"/>
      <c r="H229" s="360"/>
      <c r="I229" s="363"/>
      <c r="J229" s="363"/>
      <c r="K229" s="363"/>
      <c r="L229" s="363"/>
      <c r="M229" s="363"/>
      <c r="N229" s="158"/>
      <c r="O229" s="297"/>
      <c r="P229" s="515"/>
      <c r="Q229" s="297"/>
      <c r="R229" s="516"/>
      <c r="S229" s="140"/>
      <c r="T229" s="53"/>
    </row>
    <row r="230" spans="1:20" ht="11.45" customHeight="1">
      <c r="A230" s="143" t="s">
        <v>0</v>
      </c>
      <c r="B230" s="200" t="s">
        <v>160</v>
      </c>
      <c r="C230" s="168"/>
      <c r="D230" s="168"/>
      <c r="E230" s="143"/>
      <c r="F230" s="158">
        <v>-0.4</v>
      </c>
      <c r="G230" s="277"/>
      <c r="H230" s="360">
        <v>0</v>
      </c>
      <c r="I230" s="277"/>
      <c r="J230" s="158">
        <v>1.5</v>
      </c>
      <c r="K230" s="277"/>
      <c r="L230" s="158">
        <v>0</v>
      </c>
      <c r="M230" s="277"/>
      <c r="N230" s="158">
        <v>-1.1000000000000001</v>
      </c>
      <c r="O230" s="143"/>
      <c r="P230" s="481"/>
      <c r="Q230" s="143"/>
      <c r="R230" s="143"/>
      <c r="S230" s="140"/>
      <c r="T230" s="53"/>
    </row>
    <row r="231" spans="1:20" ht="11.45" hidden="1" customHeight="1">
      <c r="A231" s="143"/>
      <c r="B231" s="273" t="s">
        <v>173</v>
      </c>
      <c r="C231" s="143"/>
      <c r="D231" s="143"/>
      <c r="E231" s="143"/>
      <c r="F231" s="158">
        <v>0</v>
      </c>
      <c r="G231" s="272"/>
      <c r="H231" s="360">
        <v>0</v>
      </c>
      <c r="I231" s="277"/>
      <c r="J231" s="158">
        <f>0+F231</f>
        <v>0</v>
      </c>
      <c r="K231" s="277"/>
      <c r="L231" s="158">
        <v>0</v>
      </c>
      <c r="M231" s="277"/>
      <c r="N231" s="158">
        <v>0</v>
      </c>
      <c r="O231" s="239"/>
      <c r="P231" s="239"/>
      <c r="Q231" s="239"/>
      <c r="R231" s="238"/>
      <c r="S231" s="140"/>
      <c r="T231" s="53"/>
    </row>
    <row r="232" spans="1:20" ht="11.45" hidden="1" customHeight="1">
      <c r="A232" s="143"/>
      <c r="B232" s="199" t="s">
        <v>170</v>
      </c>
      <c r="C232" s="273"/>
      <c r="D232" s="273"/>
      <c r="E232" s="143"/>
      <c r="F232" s="158">
        <v>0</v>
      </c>
      <c r="G232" s="274"/>
      <c r="H232" s="360">
        <v>0</v>
      </c>
      <c r="I232" s="277"/>
      <c r="J232" s="158">
        <v>0</v>
      </c>
      <c r="K232" s="277"/>
      <c r="L232" s="158">
        <v>0</v>
      </c>
      <c r="M232" s="277"/>
      <c r="N232" s="158">
        <v>0</v>
      </c>
      <c r="O232" s="240"/>
      <c r="P232" s="240"/>
      <c r="Q232" s="240"/>
      <c r="R232" s="247"/>
      <c r="S232" s="140"/>
      <c r="T232" s="53"/>
    </row>
    <row r="233" spans="1:20" ht="11.45" customHeight="1">
      <c r="A233" s="265"/>
      <c r="B233" s="517" t="s">
        <v>242</v>
      </c>
      <c r="C233" s="266"/>
      <c r="D233" s="266"/>
      <c r="E233" s="266"/>
      <c r="F233" s="158">
        <v>0.6</v>
      </c>
      <c r="G233" s="360"/>
      <c r="H233" s="158">
        <v>0</v>
      </c>
      <c r="I233" s="383"/>
      <c r="J233" s="158">
        <v>0.6</v>
      </c>
      <c r="K233" s="383"/>
      <c r="L233" s="158">
        <v>0</v>
      </c>
      <c r="M233" s="383"/>
      <c r="N233" s="158">
        <v>0</v>
      </c>
      <c r="O233" s="158"/>
      <c r="P233" s="158"/>
      <c r="Q233" s="247"/>
      <c r="R233" s="481"/>
      <c r="S233" s="53"/>
      <c r="T233" s="53"/>
    </row>
    <row r="234" spans="1:20" ht="11.45" customHeight="1">
      <c r="A234" s="278"/>
      <c r="B234" s="315" t="s">
        <v>171</v>
      </c>
      <c r="C234" s="268"/>
      <c r="D234" s="268"/>
      <c r="E234" s="268"/>
      <c r="F234" s="158">
        <v>0.8</v>
      </c>
      <c r="G234" s="381"/>
      <c r="H234" s="158">
        <v>0.1</v>
      </c>
      <c r="I234" s="382"/>
      <c r="J234" s="158">
        <v>-0.8</v>
      </c>
      <c r="K234" s="382"/>
      <c r="L234" s="158">
        <v>1</v>
      </c>
      <c r="M234" s="382"/>
      <c r="N234" s="158">
        <v>-0.8</v>
      </c>
      <c r="O234" s="253"/>
      <c r="P234" s="247"/>
      <c r="Q234" s="247"/>
      <c r="R234" s="481"/>
      <c r="S234" s="53"/>
      <c r="T234" s="53"/>
    </row>
    <row r="235" spans="1:20" ht="11.45" customHeight="1">
      <c r="A235" s="265"/>
      <c r="B235" s="205" t="s">
        <v>172</v>
      </c>
      <c r="C235" s="266"/>
      <c r="D235" s="266"/>
      <c r="E235" s="266"/>
      <c r="F235" s="158">
        <v>0</v>
      </c>
      <c r="G235" s="360"/>
      <c r="H235" s="158">
        <v>0.2</v>
      </c>
      <c r="I235" s="383"/>
      <c r="J235" s="158">
        <f>0+F235</f>
        <v>0</v>
      </c>
      <c r="K235" s="383"/>
      <c r="L235" s="158">
        <v>-0.3</v>
      </c>
      <c r="M235" s="383"/>
      <c r="N235" s="158">
        <v>-0.5</v>
      </c>
      <c r="O235" s="158"/>
      <c r="P235" s="158"/>
      <c r="Q235" s="247"/>
      <c r="R235" s="481"/>
      <c r="S235" s="53"/>
      <c r="T235" s="53"/>
    </row>
    <row r="236" spans="1:20" s="62" customFormat="1" ht="11.45" customHeight="1">
      <c r="A236" s="145"/>
      <c r="B236" s="300" t="s">
        <v>174</v>
      </c>
      <c r="C236" s="145"/>
      <c r="D236" s="145"/>
      <c r="E236" s="301"/>
      <c r="F236" s="160">
        <f>SUM(F230:F235)</f>
        <v>1</v>
      </c>
      <c r="G236" s="275"/>
      <c r="H236" s="160">
        <f>SUM(H230:H235)</f>
        <v>0.30000000000000004</v>
      </c>
      <c r="I236" s="301"/>
      <c r="J236" s="414">
        <f>SUM(J230:J235)</f>
        <v>1.3</v>
      </c>
      <c r="K236" s="301"/>
      <c r="L236" s="145">
        <f>SUM(L230:L235)</f>
        <v>0.7</v>
      </c>
      <c r="M236" s="301"/>
      <c r="N236" s="160">
        <f>SUM(N230:N235)</f>
        <v>-2.4000000000000004</v>
      </c>
      <c r="O236" s="275"/>
      <c r="P236" s="241"/>
      <c r="Q236" s="275"/>
      <c r="R236" s="241"/>
      <c r="S236" s="511"/>
      <c r="T236" s="488"/>
    </row>
    <row r="237" spans="1:20" ht="11.1" customHeight="1">
      <c r="A237" s="142"/>
      <c r="B237" s="199"/>
      <c r="C237" s="142"/>
      <c r="D237" s="142"/>
      <c r="E237" s="143"/>
      <c r="F237" s="157"/>
      <c r="G237" s="275"/>
      <c r="H237" s="159"/>
      <c r="I237" s="143"/>
      <c r="J237" s="143"/>
      <c r="K237" s="143"/>
      <c r="L237" s="143"/>
      <c r="M237" s="143"/>
      <c r="N237" s="275"/>
      <c r="O237" s="159"/>
      <c r="P237" s="241"/>
      <c r="Q237" s="275"/>
      <c r="R237" s="241"/>
      <c r="S237" s="140"/>
      <c r="T237" s="53"/>
    </row>
    <row r="238" spans="1:20" ht="15">
      <c r="A238" s="292"/>
      <c r="B238" s="212"/>
      <c r="C238" s="293"/>
      <c r="D238" s="197"/>
      <c r="E238" s="293"/>
      <c r="F238" s="284"/>
      <c r="G238" s="293"/>
      <c r="H238" s="284"/>
      <c r="I238" s="293"/>
      <c r="J238" s="293"/>
      <c r="K238" s="293"/>
      <c r="L238" s="293"/>
      <c r="M238" s="293"/>
      <c r="N238" s="293"/>
      <c r="O238" s="284"/>
      <c r="P238" s="284"/>
      <c r="Q238" s="513"/>
      <c r="R238" s="513"/>
      <c r="S238" s="53"/>
      <c r="T238" s="53"/>
    </row>
    <row r="239" spans="1:20" ht="15">
      <c r="A239" s="292"/>
      <c r="B239" s="212"/>
      <c r="C239" s="293"/>
      <c r="D239" s="197"/>
      <c r="E239" s="293"/>
      <c r="F239" s="284"/>
      <c r="G239" s="293"/>
      <c r="H239" s="284"/>
      <c r="I239" s="293"/>
      <c r="J239" s="293"/>
      <c r="K239" s="293"/>
      <c r="L239" s="293"/>
      <c r="M239" s="293"/>
      <c r="N239" s="293"/>
      <c r="O239" s="284"/>
      <c r="P239" s="392"/>
      <c r="Q239" s="294"/>
      <c r="R239" s="294"/>
    </row>
    <row r="240" spans="1:20" ht="15">
      <c r="A240" s="292"/>
      <c r="B240" s="212"/>
      <c r="C240" s="293"/>
      <c r="D240" s="197"/>
      <c r="E240" s="293"/>
      <c r="F240" s="284"/>
      <c r="G240" s="293"/>
      <c r="H240" s="284"/>
      <c r="I240" s="293"/>
      <c r="J240" s="293"/>
      <c r="K240" s="293"/>
      <c r="L240" s="293"/>
      <c r="M240" s="293"/>
      <c r="N240" s="293"/>
      <c r="O240" s="284"/>
      <c r="P240" s="392"/>
      <c r="Q240" s="294"/>
      <c r="R240" s="294"/>
    </row>
    <row r="241" spans="1:18" ht="15">
      <c r="A241" s="292"/>
      <c r="B241" s="212"/>
      <c r="C241" s="293"/>
      <c r="D241" s="197"/>
      <c r="E241" s="293"/>
      <c r="F241" s="284"/>
      <c r="G241" s="293"/>
      <c r="H241" s="284"/>
      <c r="I241" s="293"/>
      <c r="J241" s="293"/>
      <c r="K241" s="293"/>
      <c r="L241" s="293"/>
      <c r="M241" s="293"/>
      <c r="N241" s="293"/>
      <c r="O241" s="284"/>
      <c r="P241" s="392"/>
      <c r="Q241" s="294"/>
      <c r="R241" s="294"/>
    </row>
    <row r="242" spans="1:18" ht="15">
      <c r="A242" s="292"/>
      <c r="B242" s="212"/>
      <c r="C242" s="293"/>
      <c r="D242" s="197"/>
      <c r="E242" s="293"/>
      <c r="F242" s="284"/>
      <c r="G242" s="293"/>
      <c r="H242" s="284"/>
      <c r="I242" s="293"/>
      <c r="J242" s="293"/>
      <c r="K242" s="293"/>
      <c r="L242" s="293"/>
      <c r="M242" s="293"/>
      <c r="N242" s="293"/>
      <c r="O242" s="284"/>
      <c r="P242" s="392"/>
      <c r="Q242" s="294"/>
      <c r="R242" s="294"/>
    </row>
  </sheetData>
  <mergeCells count="52">
    <mergeCell ref="J211:L211"/>
    <mergeCell ref="J222:L222"/>
    <mergeCell ref="J223:L223"/>
    <mergeCell ref="J122:L122"/>
    <mergeCell ref="J123:L123"/>
    <mergeCell ref="J153:L153"/>
    <mergeCell ref="J154:L154"/>
    <mergeCell ref="J210:L210"/>
    <mergeCell ref="J85:L85"/>
    <mergeCell ref="J97:L97"/>
    <mergeCell ref="J98:L98"/>
    <mergeCell ref="J110:L110"/>
    <mergeCell ref="J111:L111"/>
    <mergeCell ref="J6:L6"/>
    <mergeCell ref="J7:L7"/>
    <mergeCell ref="J27:L27"/>
    <mergeCell ref="J28:L28"/>
    <mergeCell ref="F84:H84"/>
    <mergeCell ref="J39:L39"/>
    <mergeCell ref="J40:L40"/>
    <mergeCell ref="J51:L51"/>
    <mergeCell ref="J52:L52"/>
    <mergeCell ref="J67:L67"/>
    <mergeCell ref="J68:L68"/>
    <mergeCell ref="J84:L84"/>
    <mergeCell ref="F85:H85"/>
    <mergeCell ref="F97:H97"/>
    <mergeCell ref="F6:H6"/>
    <mergeCell ref="F7:H7"/>
    <mergeCell ref="F27:H27"/>
    <mergeCell ref="F28:H28"/>
    <mergeCell ref="F68:H68"/>
    <mergeCell ref="F39:H39"/>
    <mergeCell ref="F40:H40"/>
    <mergeCell ref="F51:H51"/>
    <mergeCell ref="F52:H52"/>
    <mergeCell ref="F67:H67"/>
    <mergeCell ref="F111:H111"/>
    <mergeCell ref="F122:H122"/>
    <mergeCell ref="F123:H123"/>
    <mergeCell ref="F98:H98"/>
    <mergeCell ref="F110:H110"/>
    <mergeCell ref="F222:H222"/>
    <mergeCell ref="F223:H223"/>
    <mergeCell ref="F153:H153"/>
    <mergeCell ref="F154:H154"/>
    <mergeCell ref="F138:H138"/>
    <mergeCell ref="F195:H195"/>
    <mergeCell ref="F169:H169"/>
    <mergeCell ref="F184:H184"/>
    <mergeCell ref="F210:H210"/>
    <mergeCell ref="F211:H211"/>
  </mergeCells>
  <printOptions horizontalCentered="1"/>
  <pageMargins left="0.19685039370078741" right="0.11811023622047245" top="0.39370078740157483" bottom="0.51181102362204722" header="0.31496062992125984" footer="0.23622047244094491"/>
  <pageSetup paperSize="9" scale="67" fitToHeight="3" orientation="portrait" r:id="rId1"/>
  <headerFooter alignWithMargins="0"/>
  <rowBreaks count="2" manualBreakCount="2">
    <brk id="80" max="14" man="1"/>
    <brk id="163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sol and Ext Rep" ma:contentTypeID="0x01010055188D6E94B07B4D9A15F0291BA7324E0800517DEB065F01BE48B516C5493430EA9C" ma:contentTypeVersion="6" ma:contentTypeDescription="" ma:contentTypeScope="" ma:versionID="6bc19e75b435d43e2e1206ae49185ebe">
  <xsd:schema xmlns:xsd="http://www.w3.org/2001/XMLSchema" xmlns:xs="http://www.w3.org/2001/XMLSchema" xmlns:p="http://schemas.microsoft.com/office/2006/metadata/properties" xmlns:ns2="0c51a168-f9b1-4000-a552-b6e26a8e1726" xmlns:ns3="4103f08a-e8f5-4215-a214-f51e08230946" xmlns:ns4="f4ac41ce-b2d5-4726-9417-946f8435fa6d" targetNamespace="http://schemas.microsoft.com/office/2006/metadata/properties" ma:root="true" ma:fieldsID="0e974a9f5b4ba67d94986deb636f692c" ns2:_="" ns3:_="" ns4:_="">
    <xsd:import namespace="0c51a168-f9b1-4000-a552-b6e26a8e1726"/>
    <xsd:import namespace="4103f08a-e8f5-4215-a214-f51e08230946"/>
    <xsd:import namespace="f4ac41ce-b2d5-4726-9417-946f8435fa6d"/>
    <xsd:element name="properties">
      <xsd:complexType>
        <xsd:sequence>
          <xsd:element name="documentManagement">
            <xsd:complexType>
              <xsd:all>
                <xsd:element ref="ns3:KeyControl" minOccurs="0"/>
                <xsd:element ref="ns2:TaxCatchAll" minOccurs="0"/>
                <xsd:element ref="ns2:TaxCatchAllLabel" minOccurs="0"/>
                <xsd:element ref="ns2:k6b245d636cd46a7b03f10e9bce6ea8c" minOccurs="0"/>
                <xsd:element ref="ns3:ContentTypeOriginal" minOccurs="0"/>
                <xsd:element ref="ns2:GovArchiveStatus" minOccurs="0"/>
                <xsd:element ref="ns3:YearQuarter" minOccurs="0"/>
                <xsd:element ref="ns4:Consol_x0020_Ext_x0020_rep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1a168-f9b1-4000-a552-b6e26a8e1726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717c789-8cb6-44fc-a762-31d4eaaf9c57}" ma:internalName="TaxCatchAll" ma:showField="CatchAllData" ma:web="4103f08a-e8f5-4215-a214-f51e082309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717c789-8cb6-44fc-a762-31d4eaaf9c57}" ma:internalName="TaxCatchAllLabel" ma:readOnly="true" ma:showField="CatchAllDataLabel" ma:web="4103f08a-e8f5-4215-a214-f51e082309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6b245d636cd46a7b03f10e9bce6ea8c" ma:index="11" nillable="true" ma:taxonomy="true" ma:internalName="k6b245d636cd46a7b03f10e9bce6ea8c" ma:taxonomyFieldName="GovLECodeName" ma:displayName="LE Code Name" ma:default="" ma:fieldId="{46b245d6-36cd-46a7-b03f-10e9bce6ea8c}" ma:sspId="69ca02a8-2a75-4699-91fa-c3d3c2947d00" ma:termSetId="9dde328e-4c78-4ae6-bbf3-1392f8531e4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ovArchiveStatus" ma:index="14" nillable="true" ma:displayName="Gov Archive Status" ma:internalName="GovArchiveStatus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3f08a-e8f5-4215-a214-f51e08230946" elementFormDefault="qualified">
    <xsd:import namespace="http://schemas.microsoft.com/office/2006/documentManagement/types"/>
    <xsd:import namespace="http://schemas.microsoft.com/office/infopath/2007/PartnerControls"/>
    <xsd:element name="KeyControl" ma:index="3" nillable="true" ma:displayName="Key Control" ma:default="(none)" ma:format="Dropdown" ma:internalName="KeyControl">
      <xsd:simpleType>
        <xsd:restriction base="dms:Choice">
          <xsd:enumeration value="(none)"/>
          <xsd:enumeration value="AP VAT-1"/>
          <xsd:enumeration value="AP VAT-2"/>
          <xsd:enumeration value="AP VAT-4"/>
          <xsd:enumeration value="AP VAT-5"/>
          <xsd:enumeration value="AP VAT-6"/>
          <xsd:enumeration value="AP VAT-7"/>
          <xsd:enumeration value="AP-01"/>
          <xsd:enumeration value="AP-02"/>
          <xsd:enumeration value="AP-03"/>
          <xsd:enumeration value="AP-04"/>
          <xsd:enumeration value="AP-05"/>
          <xsd:enumeration value="AP-06"/>
          <xsd:enumeration value="AP-GLR PRSpore-01"/>
          <xsd:enumeration value="AP-GLR-01"/>
          <xsd:enumeration value="AP-GLR-02"/>
          <xsd:enumeration value="AP-GLR-03"/>
          <xsd:enumeration value="AP-GLR-05"/>
          <xsd:enumeration value="AP-GLR-08"/>
          <xsd:enumeration value="AP-GLR-09"/>
          <xsd:enumeration value="AP-GLR-10"/>
          <xsd:enumeration value="AP-GLR-11"/>
          <xsd:enumeration value="AP-GLR-12"/>
          <xsd:enumeration value="AP-GLR-15"/>
          <xsd:enumeration value="AP-GLR-16"/>
          <xsd:enumeration value="AP-GLR-17"/>
          <xsd:enumeration value="AP-GLR-18"/>
          <xsd:enumeration value="AP-GLR-19"/>
          <xsd:enumeration value="AP-GLR-20"/>
          <xsd:enumeration value="AP-GLR-21"/>
          <xsd:enumeration value="AP-GLR-22"/>
          <xsd:enumeration value="AP-GLR-23"/>
          <xsd:enumeration value="AP-GLR-25"/>
          <xsd:enumeration value="AP-GLR-26"/>
          <xsd:enumeration value="AP-GLR-30"/>
          <xsd:enumeration value="AP-GLR-31"/>
          <xsd:enumeration value="AP-GLR-32"/>
          <xsd:enumeration value="AP-GLR-33"/>
          <xsd:enumeration value="AP-GLR-36"/>
          <xsd:enumeration value="AP-GLR-37"/>
          <xsd:enumeration value="Cash-01"/>
          <xsd:enumeration value="Cash-03"/>
          <xsd:enumeration value="Cash-04"/>
          <xsd:enumeration value="Cash-05"/>
          <xsd:enumeration value="Cash-06"/>
          <xsd:enumeration value="Cash-07"/>
          <xsd:enumeration value="Cash-08"/>
          <xsd:enumeration value="Cash-09"/>
          <xsd:enumeration value="Cash-10"/>
          <xsd:enumeration value="Cost-01"/>
          <xsd:enumeration value="Cost-06"/>
          <xsd:enumeration value="Cost-07"/>
          <xsd:enumeration value="Cost-08"/>
          <xsd:enumeration value="Cost-09"/>
          <xsd:enumeration value="Cost-10"/>
          <xsd:enumeration value="Cost-11"/>
          <xsd:enumeration value="Cost-12"/>
          <xsd:enumeration value="Cost-13"/>
          <xsd:enumeration value="Cost-15"/>
          <xsd:enumeration value="Cost-16"/>
          <xsd:enumeration value="Cost-17"/>
          <xsd:enumeration value="Cost-19"/>
          <xsd:enumeration value="Cost-21"/>
          <xsd:enumeration value="Cost-22"/>
          <xsd:enumeration value="Cost-23"/>
          <xsd:enumeration value="Cost-24"/>
          <xsd:enumeration value="Cost-25"/>
          <xsd:enumeration value="Cost-26"/>
          <xsd:enumeration value="Cost-27"/>
          <xsd:enumeration value="Cost-28"/>
          <xsd:enumeration value="Cost-29"/>
          <xsd:enumeration value="Cost-30"/>
          <xsd:enumeration value="DEV-01"/>
          <xsd:enumeration value="DEV-02"/>
          <xsd:enumeration value="DTPRGR 16"/>
          <xsd:enumeration value="DTPRGR 21"/>
          <xsd:enumeration value="DTPRGR 26"/>
          <xsd:enumeration value="DTPRGR 28"/>
          <xsd:enumeration value="DTPRGR 31"/>
          <xsd:enumeration value="DTPRGR 35"/>
          <xsd:enumeration value="DTPRGR 37"/>
          <xsd:enumeration value="DTPRGR 40"/>
          <xsd:enumeration value="DTPRGR 49"/>
          <xsd:enumeration value="DTPRGR 50"/>
          <xsd:enumeration value="DTPRGR 51"/>
          <xsd:enumeration value="DTPRGR 55"/>
          <xsd:enumeration value="DTPRGR 61"/>
          <xsd:enumeration value="DTPRGR 62"/>
          <xsd:enumeration value="DTPRGR 67"/>
          <xsd:enumeration value="DTPRGR 75"/>
          <xsd:enumeration value="DTPRGR 76"/>
          <xsd:enumeration value="DTPRGR 77"/>
          <xsd:enumeration value="DTPRGR 78"/>
          <xsd:enumeration value="DTPRGR 79"/>
          <xsd:enumeration value="DTPRGR 80"/>
          <xsd:enumeration value="DTPRGR 81"/>
          <xsd:enumeration value="DTPRGR 82"/>
          <xsd:enumeration value="EAME-GLR-01"/>
          <xsd:enumeration value="EAME-GLR-02"/>
          <xsd:enumeration value="EAME-GLR-03"/>
          <xsd:enumeration value="EAME-GLR-05"/>
          <xsd:enumeration value="EAME-GLR-08"/>
          <xsd:enumeration value="EAME-GLR-09"/>
          <xsd:enumeration value="EAME-GLR-10"/>
          <xsd:enumeration value="EAME-GLR-11"/>
          <xsd:enumeration value="EAME-GLR-12"/>
          <xsd:enumeration value="EAME-GLR-15"/>
          <xsd:enumeration value="EAME-GLR-16"/>
          <xsd:enumeration value="EAME-GLR-17"/>
          <xsd:enumeration value="EAME-GLR-18"/>
          <xsd:enumeration value="EAME-GLR-20"/>
          <xsd:enumeration value="EAME-GLR-21"/>
          <xsd:enumeration value="EAME-GLR-22"/>
          <xsd:enumeration value="EAME-GLR-23"/>
          <xsd:enumeration value="EAME-GLR-25"/>
          <xsd:enumeration value="EAME-GLR-26"/>
          <xsd:enumeration value="EAME-GLR-30"/>
          <xsd:enumeration value="EAME-GLR-31"/>
          <xsd:enumeration value="EAME-GLR-32"/>
          <xsd:enumeration value="EAME-GLR-36"/>
          <xsd:enumeration value="EAME-GLR-37"/>
          <xsd:enumeration value="EAME-UKVAT-01"/>
          <xsd:enumeration value="EAME-UKVAT-02"/>
          <xsd:enumeration value="EAME-UKVAT-03"/>
          <xsd:enumeration value="EAME-UKVAT-04"/>
          <xsd:enumeration value="EAME-UKVAT-05"/>
          <xsd:enumeration value="EAME-UKVAT-06"/>
          <xsd:enumeration value="ER-01"/>
          <xsd:enumeration value="ER-02"/>
          <xsd:enumeration value="ER-03"/>
          <xsd:enumeration value="ER-04"/>
          <xsd:enumeration value="ER-05"/>
          <xsd:enumeration value="FA-02"/>
          <xsd:enumeration value="FA-03"/>
          <xsd:enumeration value="FA-04"/>
          <xsd:enumeration value="FA-05"/>
          <xsd:enumeration value="FA-06"/>
          <xsd:enumeration value="FA-07"/>
          <xsd:enumeration value="FA-08"/>
          <xsd:enumeration value="FA-09"/>
          <xsd:enumeration value="FA-10"/>
          <xsd:enumeration value="FA-11"/>
          <xsd:enumeration value="FA-12"/>
          <xsd:enumeration value="FA-13"/>
          <xsd:enumeration value="FA-14"/>
          <xsd:enumeration value="FA-15"/>
          <xsd:enumeration value="FA-16"/>
          <xsd:enumeration value="FA-17"/>
          <xsd:enumeration value="FA-18"/>
          <xsd:enumeration value="GA-01"/>
          <xsd:enumeration value="GA-02"/>
          <xsd:enumeration value="GA-03"/>
          <xsd:enumeration value="GA-04"/>
          <xsd:enumeration value="GA-05"/>
          <xsd:enumeration value="GA-06"/>
          <xsd:enumeration value="GA-10"/>
          <xsd:enumeration value="GA-11"/>
          <xsd:enumeration value="GA-12"/>
          <xsd:enumeration value="GA-20"/>
          <xsd:enumeration value="GA-21"/>
          <xsd:enumeration value="GA-22"/>
          <xsd:enumeration value="GA-30"/>
          <xsd:enumeration value="GA-31"/>
          <xsd:enumeration value="GA-40"/>
          <xsd:enumeration value="GA-41"/>
          <xsd:enumeration value="GA-42"/>
          <xsd:enumeration value="GA-43"/>
          <xsd:enumeration value="GC-02"/>
          <xsd:enumeration value="GC-03"/>
          <xsd:enumeration value="GC-04"/>
          <xsd:enumeration value="GC-05"/>
          <xsd:enumeration value="GC-06"/>
          <xsd:enumeration value="GC-08"/>
          <xsd:enumeration value="GC-10"/>
          <xsd:enumeration value="GC-14"/>
          <xsd:enumeration value="GC-15"/>
          <xsd:enumeration value="GC-17"/>
          <xsd:enumeration value="GLR-07"/>
          <xsd:enumeration value="GLR-16"/>
          <xsd:enumeration value="GLR-34"/>
          <xsd:enumeration value="Hou-GLR-01"/>
          <xsd:enumeration value="Hou-GLR-02"/>
          <xsd:enumeration value="Hou-GLR-03"/>
          <xsd:enumeration value="Hou-GLR-05"/>
          <xsd:enumeration value="Hou-GLR-07"/>
          <xsd:enumeration value="Hou-GLR-08"/>
          <xsd:enumeration value="Hou-GLR-09"/>
          <xsd:enumeration value="Hou-GLR-10"/>
          <xsd:enumeration value="Hou-GLR-11"/>
          <xsd:enumeration value="Hou-GLR-12"/>
          <xsd:enumeration value="Hou-GLR-14"/>
          <xsd:enumeration value="Hou-GLR-15"/>
          <xsd:enumeration value="Hou-GLR-16"/>
          <xsd:enumeration value="Hou-GLR-17"/>
          <xsd:enumeration value="Hou-GLR-18"/>
          <xsd:enumeration value="Hou-GLR-20"/>
          <xsd:enumeration value="Hou-GLR-21"/>
          <xsd:enumeration value="Hou-GLR-22"/>
          <xsd:enumeration value="Hou-GLR-23"/>
          <xsd:enumeration value="Hou-GLR-25"/>
          <xsd:enumeration value="Hou-GLR-26"/>
          <xsd:enumeration value="Hou-GLR-30"/>
          <xsd:enumeration value="Hou-GLR-31"/>
          <xsd:enumeration value="Hou-GLR-32"/>
          <xsd:enumeration value="Hou-GLR-33"/>
          <xsd:enumeration value="Hou-GLR-36"/>
          <xsd:enumeration value="Hou-GLR-37"/>
          <xsd:enumeration value="IA-01"/>
          <xsd:enumeration value="IA-02"/>
          <xsd:enumeration value="IA-03"/>
          <xsd:enumeration value="IA-04"/>
          <xsd:enumeration value="IA-05"/>
          <xsd:enumeration value="IA-06"/>
          <xsd:enumeration value="IA-07"/>
          <xsd:enumeration value="IA-08"/>
          <xsd:enumeration value="IA-09"/>
          <xsd:enumeration value="IA-10"/>
          <xsd:enumeration value="IA-10"/>
          <xsd:enumeration value="IA-13"/>
          <xsd:enumeration value="IA-15"/>
          <xsd:enumeration value="IA-16"/>
          <xsd:enumeration value="IA-17"/>
          <xsd:enumeration value="IA-19"/>
          <xsd:enumeration value="INV-01"/>
          <xsd:enumeration value="INV-02"/>
          <xsd:enumeration value="INV-03"/>
          <xsd:enumeration value="INV-04"/>
          <xsd:enumeration value="INV-05"/>
          <xsd:enumeration value="INV-06"/>
          <xsd:enumeration value="INV-07"/>
          <xsd:enumeration value="INV-08"/>
          <xsd:enumeration value="MC-01"/>
          <xsd:enumeration value="MC-03"/>
          <xsd:enumeration value="MC-04"/>
          <xsd:enumeration value="MC-05"/>
          <xsd:enumeration value="MC-06"/>
          <xsd:enumeration value="MC-08"/>
          <xsd:enumeration value="MC-09"/>
          <xsd:enumeration value="MC-10"/>
          <xsd:enumeration value="MC-11"/>
          <xsd:enumeration value="MC-12"/>
          <xsd:enumeration value="MC-13"/>
          <xsd:enumeration value="MC-14"/>
          <xsd:enumeration value="MC-15"/>
          <xsd:enumeration value="MC-16"/>
          <xsd:enumeration value="MC-17"/>
          <xsd:enumeration value="MC-18"/>
          <xsd:enumeration value="MC-19"/>
          <xsd:enumeration value="MC-22"/>
          <xsd:enumeration value="MC-23"/>
          <xsd:enumeration value="MC-25"/>
          <xsd:enumeration value="MC-26"/>
          <xsd:enumeration value="MC-27"/>
          <xsd:enumeration value="MC-29"/>
          <xsd:enumeration value="MC-31"/>
          <xsd:enumeration value="PA-01"/>
          <xsd:enumeration value="PA-02"/>
          <xsd:enumeration value="PA-03"/>
          <xsd:enumeration value="Rev-01"/>
          <xsd:enumeration value="Rev-02"/>
          <xsd:enumeration value="Rev-03"/>
          <xsd:enumeration value="Rev-04"/>
          <xsd:enumeration value="Rev-05"/>
          <xsd:enumeration value="Rev-06"/>
          <xsd:enumeration value="Rev-07"/>
          <xsd:enumeration value="Rev-08"/>
          <xsd:enumeration value="Rev-09"/>
          <xsd:enumeration value="Rev-10"/>
          <xsd:enumeration value="Rev-11"/>
          <xsd:enumeration value="Rev-12"/>
          <xsd:enumeration value="Rev-13"/>
          <xsd:enumeration value="Rev-14"/>
          <xsd:enumeration value="Rev-15"/>
          <xsd:enumeration value="Rev-16"/>
          <xsd:enumeration value="Rev-17"/>
          <xsd:enumeration value="Rev-18"/>
          <xsd:enumeration value="Rev-19"/>
          <xsd:enumeration value="Rev-20"/>
          <xsd:enumeration value="Rev-21"/>
          <xsd:enumeration value="Rev-22"/>
          <xsd:enumeration value="Rev-24"/>
          <xsd:enumeration value="Rev-25"/>
          <xsd:enumeration value="ST-01"/>
          <xsd:enumeration value="ST-02"/>
          <xsd:enumeration value="ST-03"/>
          <xsd:enumeration value="Tax Acc-01"/>
          <xsd:enumeration value="Tax Acc-02"/>
          <xsd:enumeration value="Tax Acc-03"/>
          <xsd:enumeration value="Tax Acc-04"/>
          <xsd:enumeration value="Tax Acc-05"/>
          <xsd:enumeration value="Tech-01"/>
          <xsd:enumeration value="Tech-02"/>
          <xsd:enumeration value="Tech-03"/>
          <xsd:enumeration value="Tech-04"/>
          <xsd:enumeration value="Tech-16"/>
          <xsd:enumeration value="Tech-18"/>
        </xsd:restriction>
      </xsd:simpleType>
    </xsd:element>
    <xsd:element name="ContentTypeOriginal" ma:index="13" nillable="true" ma:displayName="ContentTypeOriginal" ma:format="Dropdown" ma:internalName="ContentTypeOriginal">
      <xsd:simpleType>
        <xsd:restriction base="dms:Choice">
          <xsd:enumeration value="Accounting Issue List"/>
          <xsd:enumeration value="Accounting Issue Memo"/>
          <xsd:enumeration value="Audit Committee"/>
          <xsd:enumeration value="Earnings Release"/>
          <xsd:enumeration value="ER Supporting Documents"/>
          <xsd:enumeration value="Group Calculation and Reconciliation"/>
          <xsd:enumeration value="Q-Pack 2 A Equity"/>
          <xsd:enumeration value="Q-Pack 2 B Cash Flow Information"/>
          <xsd:enumeration value="Q-Pack 4 Minimum Operational Lease Commmitments"/>
          <xsd:enumeration value="Q-Pack 5 A Subsequent Review BC  Checked"/>
          <xsd:enumeration value="Q-Pack Report Overview"/>
          <xsd:enumeration value="Reval"/>
          <xsd:enumeration value="Segment Reports"/>
          <xsd:enumeration value="Group EPS"/>
        </xsd:restriction>
      </xsd:simpleType>
    </xsd:element>
    <xsd:element name="YearQuarter" ma:index="15" nillable="true" ma:displayName="Year Quarter" ma:internalName="YearQuart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c41ce-b2d5-4726-9417-946f8435fa6d" elementFormDefault="qualified">
    <xsd:import namespace="http://schemas.microsoft.com/office/2006/documentManagement/types"/>
    <xsd:import namespace="http://schemas.microsoft.com/office/infopath/2007/PartnerControls"/>
    <xsd:element name="Consol_x0020_Ext_x0020_rep_x0020_status" ma:index="16" nillable="true" ma:displayName="Consol Ext rep status" ma:format="Dropdown" ma:internalName="Consol_x0020_Ext_x0020_rep_x0020_status">
      <xsd:simpleType>
        <xsd:restriction base="dms:Choice">
          <xsd:enumeration value="In progress"/>
          <xsd:enumeration value="Comple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TaxCatchAll xmlns="0c51a168-f9b1-4000-a552-b6e26a8e1726">
      <Value>13</Value>
    </TaxCatchAll>
    <KeyControl xmlns="4103f08a-e8f5-4215-a214-f51e08230946">ER-04</KeyControl>
    <ContentTypeOriginal xmlns="4103f08a-e8f5-4215-a214-f51e08230946">Earnings Release</ContentTypeOriginal>
    <GovArchiveStatus xmlns="0c51a168-f9b1-4000-a552-b6e26a8e1726" xsi:nil="true"/>
    <k6b245d636cd46a7b03f10e9bce6ea8c xmlns="0c51a168-f9b1-4000-a552-b6e26a8e1726">
      <Terms xmlns="http://schemas.microsoft.com/office/infopath/2007/PartnerControls">
        <TermInfo xmlns="http://schemas.microsoft.com/office/infopath/2007/PartnerControls">
          <TermName>Financial Information</TermName>
          <TermId>d2246aff-850a-4851-9da0-77e915fead5e</TermId>
        </TermInfo>
      </Terms>
    </k6b245d636cd46a7b03f10e9bce6ea8c>
    <YearQuarter xmlns="4103f08a-e8f5-4215-a214-f51e08230946">2016 Q2</YearQuarter>
    <Consol_x0020_Ext_x0020_rep_x0020_status xmlns="f4ac41ce-b2d5-4726-9417-946f8435fa6d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C2256E-9678-478F-B10A-6CB50176A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51a168-f9b1-4000-a552-b6e26a8e1726"/>
    <ds:schemaRef ds:uri="4103f08a-e8f5-4215-a214-f51e08230946"/>
    <ds:schemaRef ds:uri="f4ac41ce-b2d5-4726-9417-946f8435fa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45D089-5F7E-4BD1-810E-21FFCF820613}">
  <ds:schemaRefs>
    <ds:schemaRef ds:uri="http://purl.org/dc/elements/1.1/"/>
    <ds:schemaRef ds:uri="http://schemas.microsoft.com/office/2006/metadata/properties"/>
    <ds:schemaRef ds:uri="4103f08a-e8f5-4215-a214-f51e08230946"/>
    <ds:schemaRef ds:uri="http://schemas.microsoft.com/office/infopath/2007/PartnerControls"/>
    <ds:schemaRef ds:uri="http://purl.org/dc/dcmitype/"/>
    <ds:schemaRef ds:uri="http://schemas.microsoft.com/office/2006/documentManagement/types"/>
    <ds:schemaRef ds:uri="0c51a168-f9b1-4000-a552-b6e26a8e1726"/>
    <ds:schemaRef ds:uri="http://purl.org/dc/terms/"/>
    <ds:schemaRef ds:uri="http://www.w3.org/XML/1998/namespace"/>
    <ds:schemaRef ds:uri="f4ac41ce-b2d5-4726-9417-946f8435fa6d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7D61D80-790F-4CBC-A8F3-BDA96093E39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9645ECF-3664-409E-AEDF-3967171679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IS &amp; OCI</vt:lpstr>
      <vt:lpstr>BS</vt:lpstr>
      <vt:lpstr>CF</vt:lpstr>
      <vt:lpstr>Equity</vt:lpstr>
      <vt:lpstr>Notes</vt:lpstr>
      <vt:lpstr>BS!Print_Area</vt:lpstr>
      <vt:lpstr>CF!Print_Area</vt:lpstr>
      <vt:lpstr>Equity!Print_Area</vt:lpstr>
      <vt:lpstr>'IS &amp; OCI'!Print_Area</vt:lpstr>
      <vt:lpstr>Notes!Print_Area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Q2 2016 Earnings release financials tables</dc:title>
  <dc:creator>Vidar Gulliksen</dc:creator>
  <cp:lastModifiedBy>Bard Stenberg</cp:lastModifiedBy>
  <cp:lastPrinted>2016-07-15T10:06:07Z</cp:lastPrinted>
  <dcterms:created xsi:type="dcterms:W3CDTF">1997-04-22T19:06:36Z</dcterms:created>
  <dcterms:modified xsi:type="dcterms:W3CDTF">2016-07-20T06:08:58Z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ne">
    <vt:lpwstr>1</vt:lpwstr>
  </property>
  <property fmtid="{D5CDD505-2E9C-101B-9397-08002B2CF9AE}" pid="3" name="ContentType">
    <vt:lpwstr>Document</vt:lpwstr>
  </property>
  <property fmtid="{D5CDD505-2E9C-101B-9397-08002B2CF9AE}" pid="4" name="Copy document to Quarterly Reporting Q4 2009">
    <vt:lpwstr>1</vt:lpwstr>
  </property>
  <property fmtid="{D5CDD505-2E9C-101B-9397-08002B2CF9AE}" pid="5" name="ContentTypeId">
    <vt:lpwstr>0x01010055188D6E94B07B4D9A15F0291BA7324E0800517DEB065F01BE48B516C5493430EA9C</vt:lpwstr>
  </property>
  <property fmtid="{D5CDD505-2E9C-101B-9397-08002B2CF9AE}" pid="6" name="Approved by">
    <vt:lpwstr>Hilde Fauske453</vt:lpwstr>
  </property>
  <property fmtid="{D5CDD505-2E9C-101B-9397-08002B2CF9AE}" pid="7" name="Status">
    <vt:lpwstr>Completed September 2010</vt:lpwstr>
  </property>
  <property fmtid="{D5CDD505-2E9C-101B-9397-08002B2CF9AE}" pid="8" name="Send a copy to Q1 2010">
    <vt:lpwstr>false</vt:lpwstr>
  </property>
  <property fmtid="{D5CDD505-2E9C-101B-9397-08002B2CF9AE}" pid="9" name="Send a copy to Q2 2010">
    <vt:lpwstr>false</vt:lpwstr>
  </property>
  <property fmtid="{D5CDD505-2E9C-101B-9397-08002B2CF9AE}" pid="10" name="Archived">
    <vt:filetime>2011-05-05T05:10:58Z</vt:filetime>
  </property>
  <property fmtid="{D5CDD505-2E9C-101B-9397-08002B2CF9AE}" pid="11" name="ArchivedBy">
    <vt:lpwstr>263</vt:lpwstr>
  </property>
  <property fmtid="{D5CDD505-2E9C-101B-9397-08002B2CF9AE}" pid="12" name="ManGroupCodePeopleSoft">
    <vt:lpwstr>532</vt:lpwstr>
  </property>
  <property fmtid="{D5CDD505-2E9C-101B-9397-08002B2CF9AE}" pid="13" name="Supporting document">
    <vt:lpwstr>No</vt:lpwstr>
  </property>
  <property fmtid="{D5CDD505-2E9C-101B-9397-08002B2CF9AE}" pid="14" name="ArchiveStatus">
    <vt:lpwstr/>
  </property>
  <property fmtid="{D5CDD505-2E9C-101B-9397-08002B2CF9AE}" pid="15" name="ContetTypeOrginal">
    <vt:lpwstr>Earnings Release</vt:lpwstr>
  </property>
  <property fmtid="{D5CDD505-2E9C-101B-9397-08002B2CF9AE}" pid="16" name="CreatedByInFARO">
    <vt:lpwstr>Elke Heintzberger</vt:lpwstr>
  </property>
  <property fmtid="{D5CDD505-2E9C-101B-9397-08002B2CF9AE}" pid="17" name="SiteNameForDocument">
    <vt:lpwstr>Consolidation and External Reporting</vt:lpwstr>
  </property>
  <property fmtid="{D5CDD505-2E9C-101B-9397-08002B2CF9AE}" pid="18" name="WorkflowCreationPath">
    <vt:lpwstr>9ddecae9-647e-4647-8894-551073beb87c,6;9ddecae9-647e-4647-8894-551073beb87c,6;9ddecae9-647e-4647-8894-551073beb87c,6;9ddecae9-647e-4647-8894-551073beb87c,6;9ddecae9-647e-4647-8894-551073beb87c,6;23bd39fb-4e40-4d39-abb4-3b289b444fd2,2;23bd39fb-4e40-4d39-ab</vt:lpwstr>
  </property>
  <property fmtid="{D5CDD505-2E9C-101B-9397-08002B2CF9AE}" pid="19" name="ApprovedByInFARO">
    <vt:lpwstr>Vidar.Hasund@pgs.com</vt:lpwstr>
  </property>
  <property fmtid="{D5CDD505-2E9C-101B-9397-08002B2CF9AE}" pid="20" name="_dlc_policyId">
    <vt:lpwstr>0x0101001BA8192A63AC2947BE19EEE885D49368|-2145755995</vt:lpwstr>
  </property>
  <property fmtid="{D5CDD505-2E9C-101B-9397-08002B2CF9AE}" pid="21" name="ItemRetentionFormula">
    <vt:lpwstr/>
  </property>
  <property fmtid="{D5CDD505-2E9C-101B-9397-08002B2CF9AE}" pid="22" name="CopyOfBU">
    <vt:lpwstr/>
  </property>
  <property fmtid="{D5CDD505-2E9C-101B-9397-08002B2CF9AE}" pid="23" name="_dlc_LastRun">
    <vt:lpwstr>09/19/2015 23:34:26</vt:lpwstr>
  </property>
  <property fmtid="{D5CDD505-2E9C-101B-9397-08002B2CF9AE}" pid="24" name="BUTxt">
    <vt:lpwstr>All BUs</vt:lpwstr>
  </property>
  <property fmtid="{D5CDD505-2E9C-101B-9397-08002B2CF9AE}" pid="25" name="AccountNumberTxt">
    <vt:lpwstr/>
  </property>
  <property fmtid="{D5CDD505-2E9C-101B-9397-08002B2CF9AE}" pid="26" name="WorkflowChangePath">
    <vt:lpwstr>f2c5fd41-cb11-41d6-8dab-aa88d6afa477,248;f2c5fd41-cb11-41d6-8dab-aa88d6afa477,248;f2c5fd41-cb11-41d6-8dab-aa88d6afa477,248;f2c5fd41-cb11-41d6-8dab-aa88d6afa477,248;f2c5fd41-cb11-41d6-8dab-aa88d6afa477,248;f2c5fd41-cb11-41d6-8dab-aa88d6afa477,248;f2c5fd41-</vt:lpwstr>
  </property>
  <property fmtid="{D5CDD505-2E9C-101B-9397-08002B2CF9AE}" pid="27" name="BUNew">
    <vt:lpwstr>557;#</vt:lpwstr>
  </property>
  <property fmtid="{D5CDD505-2E9C-101B-9397-08002B2CF9AE}" pid="28" name="GovLECodeName">
    <vt:lpwstr>13;#Financial Information|d2246aff-850a-4851-9da0-77e915fead5e</vt:lpwstr>
  </property>
  <property fmtid="{D5CDD505-2E9C-101B-9397-08002B2CF9AE}" pid="29" name="_dlc_ItemStageId">
    <vt:lpwstr>1</vt:lpwstr>
  </property>
  <property fmtid="{D5CDD505-2E9C-101B-9397-08002B2CF9AE}" pid="30" name="SV_QUERY_LIST_4F35BF76-6C0D-4D9B-82B2-816C12CF3733">
    <vt:lpwstr>empty_477D106A-C0D6-4607-AEBD-E2C9D60EA279</vt:lpwstr>
  </property>
  <property fmtid="{D5CDD505-2E9C-101B-9397-08002B2CF9AE}" pid="31" name="k3e548813fe040acb5b9e37f5bdc1d80">
    <vt:lpwstr>Financial Information|d2246aff-850a-4851-9da0-77e915fead5e</vt:lpwstr>
  </property>
  <property fmtid="{D5CDD505-2E9C-101B-9397-08002B2CF9AE}" pid="32" name="Order">
    <vt:r8>250300</vt:r8>
  </property>
  <property fmtid="{D5CDD505-2E9C-101B-9397-08002B2CF9AE}" pid="33" name="xd_ProgID">
    <vt:lpwstr/>
  </property>
  <property fmtid="{D5CDD505-2E9C-101B-9397-08002B2CF9AE}" pid="34" name="TemplateUrl">
    <vt:lpwstr/>
  </property>
</Properties>
</file>