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Investor Relations New\IR\Releases\2017\Q3\"/>
    </mc:Choice>
  </mc:AlternateContent>
  <bookViews>
    <workbookView xWindow="-15" yWindow="-15" windowWidth="20730" windowHeight="7305"/>
  </bookViews>
  <sheets>
    <sheet name="IS &amp; OCI" sheetId="5" r:id="rId1"/>
    <sheet name="BS" sheetId="6" r:id="rId2"/>
    <sheet name="CF" sheetId="8" r:id="rId3"/>
    <sheet name="Equity" sheetId="9" r:id="rId4"/>
    <sheet name="Notes" sheetId="7" r:id="rId5"/>
  </sheets>
  <definedNames>
    <definedName name="_xlnm.Print_Area" localSheetId="1">BS!$A$1:$K$40</definedName>
    <definedName name="_xlnm.Print_Area" localSheetId="2">CF!$A$1:$O$37</definedName>
    <definedName name="_xlnm.Print_Area" localSheetId="3">Equity!$A$1:$N$23</definedName>
    <definedName name="_xlnm.Print_Area" localSheetId="0">'IS &amp; OCI'!$A$1:$P$29</definedName>
    <definedName name="_xlnm.Print_Area" localSheetId="4">Notes!$A$1:$O$289</definedName>
  </definedNames>
  <calcPr calcId="162913"/>
</workbook>
</file>

<file path=xl/calcChain.xml><?xml version="1.0" encoding="utf-8"?>
<calcChain xmlns="http://schemas.openxmlformats.org/spreadsheetml/2006/main">
  <c r="J159" i="7" l="1"/>
  <c r="I21" i="8"/>
  <c r="F189" i="7" l="1"/>
  <c r="I12" i="8" l="1"/>
  <c r="F187" i="7" l="1"/>
  <c r="J101" i="7" l="1"/>
  <c r="F100" i="7"/>
  <c r="F89" i="7"/>
  <c r="F115" i="7" l="1"/>
  <c r="F256" i="7" l="1"/>
  <c r="J243" i="7" l="1"/>
  <c r="F174" i="7" l="1"/>
  <c r="H21" i="9" l="1"/>
  <c r="F34" i="7" l="1"/>
  <c r="G18" i="8" l="1"/>
  <c r="K18" i="8"/>
  <c r="H82" i="7" l="1"/>
  <c r="L16" i="5"/>
  <c r="H258" i="7" l="1"/>
  <c r="J71" i="7"/>
  <c r="J70" i="7"/>
  <c r="I31" i="6"/>
  <c r="I27" i="6"/>
  <c r="I12" i="6" l="1"/>
  <c r="I19" i="6"/>
  <c r="I20" i="6"/>
  <c r="J102" i="7"/>
  <c r="J99" i="7"/>
  <c r="I33" i="8" l="1"/>
  <c r="I29" i="8"/>
  <c r="I28" i="8"/>
  <c r="I25" i="8"/>
  <c r="I22" i="8"/>
  <c r="I20" i="8"/>
  <c r="I18" i="8"/>
  <c r="I17" i="8"/>
  <c r="I16" i="8"/>
  <c r="I15" i="8"/>
  <c r="I14" i="8"/>
  <c r="I13" i="8"/>
  <c r="I11" i="8"/>
  <c r="I8" i="8"/>
  <c r="K26" i="8"/>
  <c r="J266" i="7"/>
  <c r="J261" i="7"/>
  <c r="J260" i="7"/>
  <c r="J257" i="7"/>
  <c r="J256" i="7"/>
  <c r="J244" i="7"/>
  <c r="H174" i="7"/>
  <c r="J156" i="7"/>
  <c r="J155" i="7"/>
  <c r="J154" i="7"/>
  <c r="J153" i="7"/>
  <c r="J152" i="7"/>
  <c r="J141" i="7"/>
  <c r="J140" i="7"/>
  <c r="J129" i="7"/>
  <c r="J128" i="7"/>
  <c r="J127" i="7"/>
  <c r="H130" i="7"/>
  <c r="L117" i="7"/>
  <c r="J115" i="7"/>
  <c r="J114" i="7"/>
  <c r="F103" i="7" l="1"/>
  <c r="J100" i="7"/>
  <c r="J103" i="7" s="1"/>
  <c r="J89" i="7"/>
  <c r="J81" i="7"/>
  <c r="J80" i="7"/>
  <c r="J72" i="7"/>
  <c r="J73" i="7" s="1"/>
  <c r="J60" i="7"/>
  <c r="J59" i="7"/>
  <c r="J57" i="7"/>
  <c r="J56" i="7"/>
  <c r="J55" i="7"/>
  <c r="L61" i="7"/>
  <c r="L58" i="7"/>
  <c r="H56" i="7"/>
  <c r="J35" i="7"/>
  <c r="J34" i="7"/>
  <c r="J33" i="7"/>
  <c r="J32" i="7"/>
  <c r="J31" i="7"/>
  <c r="L36" i="7"/>
  <c r="H36" i="7"/>
  <c r="J9" i="5" l="1"/>
  <c r="J58" i="7"/>
  <c r="I31" i="8" l="1"/>
  <c r="I27" i="8"/>
  <c r="I24" i="8"/>
  <c r="I23" i="8"/>
  <c r="J186" i="7"/>
  <c r="N10" i="9" l="1"/>
  <c r="N9" i="9"/>
  <c r="E11" i="9"/>
  <c r="F11" i="9"/>
  <c r="G11" i="9"/>
  <c r="H11" i="9"/>
  <c r="I11" i="9"/>
  <c r="J11" i="9"/>
  <c r="K11" i="9"/>
  <c r="L11" i="9"/>
  <c r="M11" i="9"/>
  <c r="D11" i="9"/>
  <c r="N11" i="9" l="1"/>
  <c r="F36" i="7" l="1"/>
  <c r="L288" i="7" l="1"/>
  <c r="L286" i="7"/>
  <c r="H286" i="7"/>
  <c r="L279" i="7"/>
  <c r="H279" i="7"/>
  <c r="H278" i="7"/>
  <c r="H277" i="7"/>
  <c r="L276" i="7"/>
  <c r="H276" i="7"/>
  <c r="L103" i="7" l="1"/>
  <c r="L287" i="7" l="1"/>
  <c r="L188" i="7"/>
  <c r="L185" i="7"/>
  <c r="L184" i="7"/>
  <c r="L187" i="7" s="1"/>
  <c r="H117" i="7"/>
  <c r="H58" i="7"/>
  <c r="H61" i="7" s="1"/>
  <c r="F58" i="7"/>
  <c r="F61" i="7" s="1"/>
  <c r="J265" i="7" l="1"/>
  <c r="J264" i="7"/>
  <c r="J18" i="5"/>
  <c r="H157" i="7" l="1"/>
  <c r="J158" i="7"/>
  <c r="J116" i="7"/>
  <c r="J188" i="7"/>
  <c r="J189" i="7"/>
  <c r="J192" i="7"/>
  <c r="J287" i="7" s="1"/>
  <c r="J191" i="7"/>
  <c r="J190" i="7"/>
  <c r="J11" i="5"/>
  <c r="J185" i="7"/>
  <c r="J184" i="7"/>
  <c r="J187" i="7" s="1"/>
  <c r="J13" i="5" l="1"/>
  <c r="J278" i="7" s="1"/>
  <c r="J10" i="5"/>
  <c r="L267" i="7"/>
  <c r="J267" i="7"/>
  <c r="J27" i="5" s="1"/>
  <c r="L258" i="7"/>
  <c r="J258" i="7"/>
  <c r="J26" i="5" s="1"/>
  <c r="J36" i="7"/>
  <c r="J61" i="7"/>
  <c r="J12" i="5"/>
  <c r="J277" i="7" s="1"/>
  <c r="L73" i="7"/>
  <c r="L277" i="7" s="1"/>
  <c r="J82" i="7"/>
  <c r="L82" i="7"/>
  <c r="L278" i="7" s="1"/>
  <c r="J91" i="7"/>
  <c r="J14" i="5" s="1"/>
  <c r="L91" i="7"/>
  <c r="J15" i="5"/>
  <c r="J117" i="7"/>
  <c r="J19" i="5" s="1"/>
  <c r="J130" i="7"/>
  <c r="J20" i="5" s="1"/>
  <c r="L130" i="7"/>
  <c r="J142" i="7"/>
  <c r="J22" i="5" s="1"/>
  <c r="L142" i="7"/>
  <c r="J157" i="7"/>
  <c r="J160" i="7" s="1"/>
  <c r="L157" i="7"/>
  <c r="L160" i="7" s="1"/>
  <c r="K37" i="8"/>
  <c r="K34" i="8"/>
  <c r="I34" i="8"/>
  <c r="I26" i="8"/>
  <c r="L28" i="5"/>
  <c r="L17" i="5" l="1"/>
  <c r="L21" i="5" s="1"/>
  <c r="L23" i="5" s="1"/>
  <c r="J276" i="7"/>
  <c r="J286" i="7"/>
  <c r="J288" i="7"/>
  <c r="J279" i="7"/>
  <c r="J16" i="5"/>
  <c r="J28" i="5"/>
  <c r="L19" i="9" s="1"/>
  <c r="F208" i="7"/>
  <c r="K7" i="8" l="1"/>
  <c r="K19" i="8" s="1"/>
  <c r="L29" i="5"/>
  <c r="L285" i="7"/>
  <c r="L289" i="7" s="1"/>
  <c r="L275" i="7"/>
  <c r="L280" i="7" s="1"/>
  <c r="J208" i="7"/>
  <c r="H208" i="7"/>
  <c r="N18" i="9" l="1"/>
  <c r="N280" i="7" l="1"/>
  <c r="J234" i="7"/>
  <c r="J222" i="7"/>
  <c r="J211" i="7"/>
  <c r="J174" i="7"/>
  <c r="J176" i="7" s="1"/>
  <c r="N36" i="7"/>
  <c r="K36" i="6"/>
  <c r="K39" i="6" s="1"/>
  <c r="K40" i="6" s="1"/>
  <c r="K31" i="6"/>
  <c r="K27" i="6"/>
  <c r="K19" i="6"/>
  <c r="K12" i="6"/>
  <c r="K20" i="6" s="1"/>
  <c r="H234" i="7"/>
  <c r="N192" i="7" l="1"/>
  <c r="N191" i="7"/>
  <c r="N190" i="7"/>
  <c r="F192" i="7"/>
  <c r="F191" i="7"/>
  <c r="F190" i="7"/>
  <c r="N103" i="7"/>
  <c r="H103" i="7"/>
  <c r="N73" i="7" l="1"/>
  <c r="H73" i="7"/>
  <c r="F73" i="7"/>
  <c r="F12" i="5" s="1"/>
  <c r="N69" i="7"/>
  <c r="H69" i="7"/>
  <c r="F15" i="5" l="1"/>
  <c r="N97" i="7" l="1"/>
  <c r="H97" i="7"/>
  <c r="N286" i="7" l="1"/>
  <c r="F286" i="7"/>
  <c r="G289" i="7"/>
  <c r="E289" i="7"/>
  <c r="H188" i="7"/>
  <c r="I286" i="7" l="1"/>
  <c r="M34" i="8" l="1"/>
  <c r="G34" i="8"/>
  <c r="E34" i="8"/>
  <c r="N287" i="7" l="1"/>
  <c r="H287" i="7"/>
  <c r="F287" i="7" l="1"/>
  <c r="N82" i="7"/>
  <c r="F82" i="7"/>
  <c r="F91" i="7"/>
  <c r="F14" i="5" s="1"/>
  <c r="F288" i="7" s="1"/>
  <c r="H91" i="7"/>
  <c r="H288" i="7" s="1"/>
  <c r="N91" i="7"/>
  <c r="N288" i="7" s="1"/>
  <c r="N87" i="7"/>
  <c r="H87" i="7"/>
  <c r="I288" i="7" l="1"/>
  <c r="H16" i="5"/>
  <c r="H17" i="5" s="1"/>
  <c r="H21" i="5" s="1"/>
  <c r="F157" i="7" l="1"/>
  <c r="F160" i="7" s="1"/>
  <c r="F277" i="7" l="1"/>
  <c r="F13" i="5" l="1"/>
  <c r="F278" i="7" s="1"/>
  <c r="H275" i="7"/>
  <c r="H280" i="7" s="1"/>
  <c r="H285" i="7" l="1"/>
  <c r="H289" i="7" s="1"/>
  <c r="N16" i="5"/>
  <c r="N17" i="5" s="1"/>
  <c r="N11" i="7" s="1"/>
  <c r="N285" i="7" l="1"/>
  <c r="N289" i="7" s="1"/>
  <c r="N20" i="9" l="1"/>
  <c r="F279" i="7" l="1"/>
  <c r="G280" i="7" l="1"/>
  <c r="E280" i="7"/>
  <c r="I278" i="7"/>
  <c r="F9" i="5" l="1"/>
  <c r="G27" i="6" l="1"/>
  <c r="H267" i="7" l="1"/>
  <c r="F10" i="5" l="1"/>
  <c r="F11" i="5" l="1"/>
  <c r="F16" i="5" s="1"/>
  <c r="F267" i="7" l="1"/>
  <c r="F20" i="7" l="1"/>
  <c r="J20" i="7" s="1"/>
  <c r="E9" i="8" l="1"/>
  <c r="I9" i="8" s="1"/>
  <c r="I36" i="6" l="1"/>
  <c r="I39" i="6" s="1"/>
  <c r="I40" i="6" s="1"/>
  <c r="N267" i="7" l="1"/>
  <c r="N130" i="7"/>
  <c r="G19" i="6" l="1"/>
  <c r="G12" i="6"/>
  <c r="H23" i="5"/>
  <c r="G20" i="6" l="1"/>
  <c r="N58" i="7" l="1"/>
  <c r="N61" i="7" s="1"/>
  <c r="I279" i="7" l="1"/>
  <c r="M26" i="8" l="1"/>
  <c r="N28" i="5"/>
  <c r="N21" i="5" l="1"/>
  <c r="N23" i="5" s="1"/>
  <c r="M7" i="8" s="1"/>
  <c r="M19" i="8" s="1"/>
  <c r="M35" i="8" s="1"/>
  <c r="M37" i="8" s="1"/>
  <c r="I36" i="8" s="1"/>
  <c r="N29" i="5" l="1"/>
  <c r="N188" i="7" l="1"/>
  <c r="G26" i="8" l="1"/>
  <c r="F17" i="7" l="1"/>
  <c r="J17" i="7" s="1"/>
  <c r="F15" i="7"/>
  <c r="J15" i="7" s="1"/>
  <c r="X15" i="5" l="1"/>
  <c r="F276" i="7" l="1"/>
  <c r="I276" i="7" s="1"/>
  <c r="F186" i="7" l="1"/>
  <c r="E26" i="8"/>
  <c r="F27" i="5"/>
  <c r="F258" i="7"/>
  <c r="F188" i="7"/>
  <c r="H185" i="7"/>
  <c r="F185" i="7"/>
  <c r="H184" i="7"/>
  <c r="H187" i="7" s="1"/>
  <c r="F184" i="7"/>
  <c r="H182" i="7"/>
  <c r="H160" i="7"/>
  <c r="F18" i="7"/>
  <c r="J18" i="7" s="1"/>
  <c r="H142" i="7"/>
  <c r="F142" i="7"/>
  <c r="F22" i="5" s="1"/>
  <c r="F130" i="7"/>
  <c r="F20" i="5" s="1"/>
  <c r="F117" i="7"/>
  <c r="F19" i="5" s="1"/>
  <c r="H78" i="7"/>
  <c r="F9" i="7"/>
  <c r="J9" i="7" l="1"/>
  <c r="J7" i="5" s="1"/>
  <c r="J17" i="5" s="1"/>
  <c r="J21" i="5" s="1"/>
  <c r="E10" i="8"/>
  <c r="I10" i="8" s="1"/>
  <c r="F7" i="5"/>
  <c r="F10" i="7" s="1"/>
  <c r="G7" i="8"/>
  <c r="G19" i="8" s="1"/>
  <c r="G35" i="8" s="1"/>
  <c r="H28" i="5"/>
  <c r="F26" i="5"/>
  <c r="F28" i="5" s="1"/>
  <c r="J10" i="7" l="1"/>
  <c r="G37" i="8"/>
  <c r="F17" i="5"/>
  <c r="F11" i="7" s="1"/>
  <c r="H29" i="5"/>
  <c r="J275" i="7" l="1"/>
  <c r="J280" i="7" s="1"/>
  <c r="J285" i="7"/>
  <c r="J289" i="7" s="1"/>
  <c r="J11" i="7"/>
  <c r="F285" i="7"/>
  <c r="F289" i="7" s="1"/>
  <c r="F21" i="5"/>
  <c r="F23" i="5" s="1"/>
  <c r="F275" i="7"/>
  <c r="F280" i="7" s="1"/>
  <c r="F12" i="7"/>
  <c r="J12" i="7" s="1"/>
  <c r="J23" i="5" l="1"/>
  <c r="I7" i="8" s="1"/>
  <c r="I285" i="7"/>
  <c r="F13" i="7"/>
  <c r="J13" i="7" s="1"/>
  <c r="F29" i="5"/>
  <c r="I275" i="7"/>
  <c r="I19" i="8" l="1"/>
  <c r="I35" i="8" s="1"/>
  <c r="I37" i="8" s="1"/>
  <c r="J29" i="5"/>
  <c r="J19" i="9"/>
  <c r="E7" i="8"/>
  <c r="E19" i="8" s="1"/>
  <c r="E35" i="8" s="1"/>
  <c r="F14" i="7"/>
  <c r="J14" i="7" s="1"/>
  <c r="G31" i="6"/>
  <c r="E37" i="8" l="1"/>
  <c r="N19" i="9"/>
  <c r="F16" i="7"/>
  <c r="J16" i="7" s="1"/>
  <c r="N117" i="7"/>
  <c r="F222" i="7" l="1"/>
  <c r="H222" i="7"/>
  <c r="N78" i="7" l="1"/>
  <c r="N258" i="7"/>
  <c r="N157" i="7" l="1"/>
  <c r="N160" i="7" s="1"/>
  <c r="F211" i="7" l="1"/>
  <c r="H211" i="7"/>
  <c r="N142" i="7" l="1"/>
  <c r="H176" i="7" l="1"/>
  <c r="D22" i="9" l="1"/>
  <c r="G33" i="6" s="1"/>
  <c r="F22" i="9"/>
  <c r="H22" i="9"/>
  <c r="G35" i="6" s="1"/>
  <c r="G34" i="6" l="1"/>
  <c r="G36" i="6" s="1"/>
  <c r="L22" i="9"/>
  <c r="G38" i="6" s="1"/>
  <c r="F176" i="7" l="1"/>
  <c r="N185" i="7" l="1"/>
  <c r="N186" i="7"/>
  <c r="N184" i="7" l="1"/>
  <c r="N187" i="7" s="1"/>
  <c r="E22" i="9" l="1"/>
  <c r="G22" i="9"/>
  <c r="I22" i="9"/>
  <c r="K22" i="9"/>
  <c r="N21" i="9" l="1"/>
  <c r="N182" i="7" l="1"/>
  <c r="J22" i="9" l="1"/>
  <c r="N22" i="9" s="1"/>
  <c r="G37" i="6" l="1"/>
  <c r="G39" i="6" s="1"/>
  <c r="G40" i="6" l="1"/>
  <c r="F234" i="7"/>
  <c r="F21" i="7" s="1"/>
  <c r="J21" i="7" s="1"/>
  <c r="F19" i="7" l="1"/>
  <c r="J19" i="7" s="1"/>
</calcChain>
</file>

<file path=xl/sharedStrings.xml><?xml version="1.0" encoding="utf-8"?>
<sst xmlns="http://schemas.openxmlformats.org/spreadsheetml/2006/main" count="528" uniqueCount="262">
  <si>
    <t xml:space="preserve"> </t>
  </si>
  <si>
    <t>December 31,</t>
  </si>
  <si>
    <t>Cash and cash equivalents</t>
  </si>
  <si>
    <t>Income taxes payable</t>
  </si>
  <si>
    <t>Other long-term liabilities</t>
  </si>
  <si>
    <t>Quarter ended</t>
  </si>
  <si>
    <t>Other current assets</t>
  </si>
  <si>
    <t xml:space="preserve">   Total assets</t>
  </si>
  <si>
    <t>LIABILITIES AND SHAREHOLDERS' EQUITY</t>
  </si>
  <si>
    <t>Long-term debt</t>
  </si>
  <si>
    <t>Accounts payable</t>
  </si>
  <si>
    <t>ASSETS</t>
  </si>
  <si>
    <t>Interest expense</t>
  </si>
  <si>
    <t>Restricted cash</t>
  </si>
  <si>
    <t>Short-term debt and current portion of long-term debt</t>
  </si>
  <si>
    <t xml:space="preserve">   Total current liabilities</t>
  </si>
  <si>
    <t xml:space="preserve">Revenues </t>
  </si>
  <si>
    <t xml:space="preserve">          Total current assets</t>
  </si>
  <si>
    <t xml:space="preserve">          Total shareholders' equity</t>
  </si>
  <si>
    <t xml:space="preserve">    Total liabilities and shareholders' equity</t>
  </si>
  <si>
    <t>Year ended</t>
  </si>
  <si>
    <t>Total operating expenses</t>
  </si>
  <si>
    <t>Additional paid-in capital</t>
  </si>
  <si>
    <t xml:space="preserve">Accumulated earnings </t>
  </si>
  <si>
    <t xml:space="preserve">   Total long-term liabilities</t>
  </si>
  <si>
    <t>Deferred tax liabilities</t>
  </si>
  <si>
    <t>Deferred tax assets</t>
  </si>
  <si>
    <t>Earnings per share, to ordinary equity holders of PGS ASA:</t>
  </si>
  <si>
    <t>- Basic</t>
  </si>
  <si>
    <t>Accounts receivable</t>
  </si>
  <si>
    <t>Accrued revenues and other receivables</t>
  </si>
  <si>
    <t>Property and equipment</t>
  </si>
  <si>
    <t>Other intangible assets</t>
  </si>
  <si>
    <t xml:space="preserve">     Total paid-in capital</t>
  </si>
  <si>
    <t xml:space="preserve">Common stock; par value NOK 3; </t>
  </si>
  <si>
    <t xml:space="preserve">   Treasury shares, par value</t>
  </si>
  <si>
    <t>Note</t>
  </si>
  <si>
    <t xml:space="preserve">Cost of sales </t>
  </si>
  <si>
    <t xml:space="preserve">Research and development costs </t>
  </si>
  <si>
    <t xml:space="preserve">Selling, general and administrative costs </t>
  </si>
  <si>
    <t xml:space="preserve"> Weighted average basic shares outstanding</t>
  </si>
  <si>
    <t>MultiClient library</t>
  </si>
  <si>
    <t xml:space="preserve">     Total</t>
  </si>
  <si>
    <t>Interest bearing receivables</t>
  </si>
  <si>
    <t>Restricted cash (current and long-term)</t>
  </si>
  <si>
    <t>Total comprehensive income</t>
  </si>
  <si>
    <t>equity</t>
  </si>
  <si>
    <t>capital</t>
  </si>
  <si>
    <t>par value</t>
  </si>
  <si>
    <t>Shareholders'</t>
  </si>
  <si>
    <t>earnings</t>
  </si>
  <si>
    <t>paid-in</t>
  </si>
  <si>
    <t>shares</t>
  </si>
  <si>
    <t>Accumulated</t>
  </si>
  <si>
    <t>Additional</t>
  </si>
  <si>
    <t>Treasury</t>
  </si>
  <si>
    <t>MultiClient late sales</t>
  </si>
  <si>
    <t xml:space="preserve">     MultiClient library, net</t>
  </si>
  <si>
    <t>Surveys in progress</t>
  </si>
  <si>
    <t xml:space="preserve">     Completed surveys</t>
  </si>
  <si>
    <t>Completed during 2011</t>
  </si>
  <si>
    <t>The net book-value of the MultiClient library by year of completion is as follows:</t>
  </si>
  <si>
    <t xml:space="preserve">Other  </t>
  </si>
  <si>
    <t>Interest income</t>
  </si>
  <si>
    <t>Capitalized interest, construction in progress</t>
  </si>
  <si>
    <t>Capitalized interest, MultiClient library</t>
  </si>
  <si>
    <t>Interest expense, gross</t>
  </si>
  <si>
    <t>Amortization of MultiClient library</t>
  </si>
  <si>
    <t xml:space="preserve">Gross depreciation </t>
  </si>
  <si>
    <t>Capitalized development costs</t>
  </si>
  <si>
    <t xml:space="preserve">     - Other</t>
  </si>
  <si>
    <t xml:space="preserve">     - MultiClient late sales</t>
  </si>
  <si>
    <t xml:space="preserve">     - MultiClient pre-funding</t>
  </si>
  <si>
    <t xml:space="preserve">     - Contract seismic</t>
  </si>
  <si>
    <t>Marine revenues by service type:</t>
  </si>
  <si>
    <t>Cash and cash equivalents at end of period</t>
  </si>
  <si>
    <t>Cash and cash equivalents at beginning of period</t>
  </si>
  <si>
    <t>Interest paid</t>
  </si>
  <si>
    <t>Purchase of treasury shares</t>
  </si>
  <si>
    <t>Investment in other intangible assets</t>
  </si>
  <si>
    <t>Investment in MultiClient library</t>
  </si>
  <si>
    <t>Increase (decrease) in accounts payable</t>
  </si>
  <si>
    <t>Other items</t>
  </si>
  <si>
    <t>Attributable to equity holders of PGS ASA</t>
  </si>
  <si>
    <t>Completed during 2012</t>
  </si>
  <si>
    <t xml:space="preserve">Dividend paid  </t>
  </si>
  <si>
    <t>Key figures MultiClient library:</t>
  </si>
  <si>
    <t>Summary of net interest bearing debt:</t>
  </si>
  <si>
    <t>Total comprehensive income to equity holders of PGS ASA</t>
  </si>
  <si>
    <t>Other long-term assets</t>
  </si>
  <si>
    <t xml:space="preserve">Condensed Consolidated Statements of Financial Position </t>
  </si>
  <si>
    <t>(Increase) decrease in accounts receivable, accrued revenues &amp; other receivables</t>
  </si>
  <si>
    <t>Investment in property and equipment</t>
  </si>
  <si>
    <t>Net cash (used in) provided by financing activities</t>
  </si>
  <si>
    <t>Condensed Consolidated Statements of Cash Flows</t>
  </si>
  <si>
    <t>Currency exchange gain (loss)</t>
  </si>
  <si>
    <t>Change in other long-term items related to operating activities</t>
  </si>
  <si>
    <t>Investment in other current -and long-term assets</t>
  </si>
  <si>
    <t>Completed during 2013</t>
  </si>
  <si>
    <t>(In millions of US dollars)</t>
  </si>
  <si>
    <t>(In millions US of dollars)</t>
  </si>
  <si>
    <t>- Diluted</t>
  </si>
  <si>
    <t xml:space="preserve"> Weighted average diluted shares outstanding</t>
  </si>
  <si>
    <t>Proceeds, net of deferred loan costs, from issuance of long-term debt</t>
  </si>
  <si>
    <t>MultiClient pre-funding revenue</t>
  </si>
  <si>
    <t>Interest expense consists of the following:</t>
  </si>
  <si>
    <t>Other financial expense, net</t>
  </si>
  <si>
    <t>Other financial expense, net consists of the following:</t>
  </si>
  <si>
    <t xml:space="preserve">                                                   </t>
  </si>
  <si>
    <t>Depreciation capitalized and deferred, net</t>
  </si>
  <si>
    <t>Adjustment for deferred loan costs (offset in long-term debt)</t>
  </si>
  <si>
    <t xml:space="preserve">         Total long-term assets</t>
  </si>
  <si>
    <t>Other comprehensive income</t>
  </si>
  <si>
    <t xml:space="preserve">Other </t>
  </si>
  <si>
    <t>comprehensive</t>
  </si>
  <si>
    <t>income</t>
  </si>
  <si>
    <t xml:space="preserve">     - Imaging</t>
  </si>
  <si>
    <t>Condensed Consolidated Statements of Changes in Shareholders' Equity</t>
  </si>
  <si>
    <t xml:space="preserve">Capitalized depreciation (non-cash) </t>
  </si>
  <si>
    <t>Increase in long-term restricted cash</t>
  </si>
  <si>
    <t>Net cash used in investing activities</t>
  </si>
  <si>
    <t xml:space="preserve"> Proceeds from sale and disposal of assets</t>
  </si>
  <si>
    <t>Accrued expenses and other current liabilities</t>
  </si>
  <si>
    <t>Change in other current items related to operating activities</t>
  </si>
  <si>
    <t>Revenues by service type:</t>
  </si>
  <si>
    <t>Net drawdown of Revolving Credit Facility</t>
  </si>
  <si>
    <t>Items that will not be reclassified to profit and loss</t>
  </si>
  <si>
    <t>Other comprehensive income for the period, net of tax</t>
  </si>
  <si>
    <t>Seismic equipment</t>
  </si>
  <si>
    <t>Vessel upgrades/Yard</t>
  </si>
  <si>
    <t>Processing equipment</t>
  </si>
  <si>
    <t>Newbuilds</t>
  </si>
  <si>
    <t>Other</t>
  </si>
  <si>
    <t xml:space="preserve">Cash investment in MultiClient library </t>
  </si>
  <si>
    <t xml:space="preserve">Capitalized interest in MultiClient library </t>
  </si>
  <si>
    <t xml:space="preserve">Amortization of MultiClient library </t>
  </si>
  <si>
    <t>Secured</t>
  </si>
  <si>
    <t>Export credit financing, due 2025</t>
  </si>
  <si>
    <t>Export credit financing, due 2027</t>
  </si>
  <si>
    <t>Unsecured</t>
  </si>
  <si>
    <t>Senior notes, Coupon 7.375%, due 2018</t>
  </si>
  <si>
    <t>Less deferred loan costs, net of debt premiums</t>
  </si>
  <si>
    <t>Total long-term debt</t>
  </si>
  <si>
    <t>Long term debt consists of the following:</t>
  </si>
  <si>
    <t>Undrawn facilities consists of the following:</t>
  </si>
  <si>
    <t xml:space="preserve">Export credit financing </t>
  </si>
  <si>
    <t>Bank facility (NOK 50 mill)</t>
  </si>
  <si>
    <t>Performance bond</t>
  </si>
  <si>
    <t>Gains (losses) arising during the period</t>
  </si>
  <si>
    <t>Prefunding as a percentage of MultiClient cash investment</t>
  </si>
  <si>
    <t>Contract</t>
  </si>
  <si>
    <t>MultiClient</t>
  </si>
  <si>
    <t>Steaming</t>
  </si>
  <si>
    <t>Yard</t>
  </si>
  <si>
    <t>Income tax effect on actuarial gains and losses</t>
  </si>
  <si>
    <t>Cash flow hedges</t>
  </si>
  <si>
    <t>Deferred tax on cash flow hedges</t>
  </si>
  <si>
    <t>Other comprehensive income (loss) of associated companies</t>
  </si>
  <si>
    <t>Reclassification adjustments for losses (gains) included in profit and loss</t>
  </si>
  <si>
    <t>Items that may be subsequently reclassified to profit and loss</t>
  </si>
  <si>
    <t>Net cash provided by operating activities</t>
  </si>
  <si>
    <t xml:space="preserve">     Total revenues</t>
  </si>
  <si>
    <r>
      <t>Repayment of</t>
    </r>
    <r>
      <rPr>
        <strike/>
        <sz val="10"/>
        <color rgb="FFFF0000"/>
        <rFont val="Calibri"/>
        <family val="2"/>
      </rPr>
      <t xml:space="preserve"> long-term </t>
    </r>
    <r>
      <rPr>
        <sz val="10"/>
        <rFont val="Calibri"/>
        <family val="2"/>
      </rPr>
      <t>debt</t>
    </r>
  </si>
  <si>
    <r>
      <t>Net</t>
    </r>
    <r>
      <rPr>
        <strike/>
        <sz val="10"/>
        <color rgb="FFFF0000"/>
        <rFont val="Calibri"/>
        <family val="2"/>
      </rPr>
      <t xml:space="preserve"> increase (decrease)</t>
    </r>
    <r>
      <rPr>
        <sz val="10"/>
        <rFont val="Calibri"/>
        <family val="2"/>
      </rPr>
      <t xml:space="preserve"> in cash and cash equivalents</t>
    </r>
  </si>
  <si>
    <t>Completed during 2015</t>
  </si>
  <si>
    <t>Net income (loss) to equity holders of PGS ASA</t>
  </si>
  <si>
    <t>Note 1 - Revenues</t>
  </si>
  <si>
    <t xml:space="preserve">Long-term debt </t>
  </si>
  <si>
    <t>(In millions of US dollars, except per share data)</t>
  </si>
  <si>
    <t>Revenues</t>
  </si>
  <si>
    <t>EBIT as reported</t>
  </si>
  <si>
    <t>Basic earnings per share ($ per share)</t>
  </si>
  <si>
    <t>Cash investment in MultiClient library</t>
  </si>
  <si>
    <t>Capital expenditures (whether paid or not)</t>
  </si>
  <si>
    <t xml:space="preserve">Total assets </t>
  </si>
  <si>
    <t>Net interest bearing debt</t>
  </si>
  <si>
    <t>Loss (gain) on sale and retirement of assets</t>
  </si>
  <si>
    <t>Depreciation, amortization, impairment and loss on sale of long-term assets</t>
  </si>
  <si>
    <t>Stacked/standby</t>
  </si>
  <si>
    <t xml:space="preserve">Share of results from associated companies </t>
  </si>
  <si>
    <t>Proceeds from sale of treasury shares/share issue</t>
  </si>
  <si>
    <t>Completed during 2014</t>
  </si>
  <si>
    <t>Vessel allocation(1):</t>
  </si>
  <si>
    <r>
      <rPr>
        <sz val="8"/>
        <rFont val="Calibri"/>
        <family val="2"/>
      </rPr>
      <t>1)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The statistics exclude cold-stacked vessels.</t>
    </r>
  </si>
  <si>
    <t>Balance as of January 1, 2016</t>
  </si>
  <si>
    <t>Completed during 2016</t>
  </si>
  <si>
    <t>Sellling, general and administrative costs</t>
  </si>
  <si>
    <t>Note 5 - Interest expense</t>
  </si>
  <si>
    <t>Note 6 - Other financial expense, net</t>
  </si>
  <si>
    <t>Note 8 - Property and equipment</t>
  </si>
  <si>
    <t>Note 9 - MultiClient library</t>
  </si>
  <si>
    <t>Note 10 - Liquidity and financing</t>
  </si>
  <si>
    <t>Note 11 - Earnings per share</t>
  </si>
  <si>
    <t xml:space="preserve">Term loan B, Libor (min. 75 bp) + 250 Basis points, due 2021 </t>
  </si>
  <si>
    <t>Income (loss) before income tax expense</t>
  </si>
  <si>
    <t>Operating profit (loss)/EBIT</t>
  </si>
  <si>
    <t>Net income (loss) to equity holders</t>
  </si>
  <si>
    <t>Note 12 - Other comprehensive income</t>
  </si>
  <si>
    <t>Changes to Other comprehensive income consists of the following:</t>
  </si>
  <si>
    <t>Shares available for sale</t>
  </si>
  <si>
    <t xml:space="preserve"> Condensed Consolidated Statements of Profit and Loss and Other Comprehensive Income</t>
  </si>
  <si>
    <t xml:space="preserve">        Cash costs, gross</t>
  </si>
  <si>
    <t xml:space="preserve">          Total</t>
  </si>
  <si>
    <t>Cost of sales before investment in MultiClient library</t>
  </si>
  <si>
    <t>Research and development costs before capitalized development costs</t>
  </si>
  <si>
    <t>Capital expenditures, whether paid or not, consists of the following:</t>
  </si>
  <si>
    <t xml:space="preserve">      Investment in property and equipment</t>
  </si>
  <si>
    <t xml:space="preserve">EBITDA </t>
  </si>
  <si>
    <t>Operating profit (loss)</t>
  </si>
  <si>
    <t xml:space="preserve">       Total capital expenditures, whether paid or not</t>
  </si>
  <si>
    <t>Impairment of MultiClient library</t>
  </si>
  <si>
    <t>Other Intangible assets</t>
  </si>
  <si>
    <t>Share issue (1)</t>
  </si>
  <si>
    <t>Depreciation and amortization of long term assets (excl. MultiClient library)</t>
  </si>
  <si>
    <t>Impairment and loss on sale of long-term assets (excl. MultiClient library)</t>
  </si>
  <si>
    <t>Amortization and impairment of MultiClient library</t>
  </si>
  <si>
    <t>Less current portion LT debt</t>
  </si>
  <si>
    <t>Amortization and impairment of MultiClient library consist of the following:</t>
  </si>
  <si>
    <t>Depreciation and amortization of long term assets (excl. MultiClient library) consist of the following:</t>
  </si>
  <si>
    <t>Senior notes, Coupon 7.375%, due 2020</t>
  </si>
  <si>
    <t xml:space="preserve">Income tax </t>
  </si>
  <si>
    <t>Impairment and loss on sale of long-term assets (excluding MultiClient library) consist of the following:</t>
  </si>
  <si>
    <t>Other charges, net</t>
  </si>
  <si>
    <t>EBIT ex. impairment and other charges, net</t>
  </si>
  <si>
    <t>Note 3 - Depreciation, amortization and impairments and other charges, net</t>
  </si>
  <si>
    <t xml:space="preserve">Other charges, net consist of the following: </t>
  </si>
  <si>
    <t>Restructuring cost</t>
  </si>
  <si>
    <t>Onerous contract with customers</t>
  </si>
  <si>
    <t xml:space="preserve">         Net operating expenses</t>
  </si>
  <si>
    <t xml:space="preserve">Note 2 - Net operating expenses </t>
  </si>
  <si>
    <t xml:space="preserve">Note 7 - Income tax </t>
  </si>
  <si>
    <t xml:space="preserve">Current tax </t>
  </si>
  <si>
    <t>Note 13 - EBITDA and EBIT ex. impairment and other charges, net reconciliation</t>
  </si>
  <si>
    <t>Key Financial Figures</t>
  </si>
  <si>
    <t>Income tax consists of the following:</t>
  </si>
  <si>
    <t>Note 4 - Share of results from associated companies</t>
  </si>
  <si>
    <t>Change in deferred tax</t>
  </si>
  <si>
    <t xml:space="preserve">Share of results in associated companies </t>
  </si>
  <si>
    <t>Balance as of January 1, 2017</t>
  </si>
  <si>
    <t>Year ended
December 31,</t>
  </si>
  <si>
    <t>Completed during 2017</t>
  </si>
  <si>
    <t xml:space="preserve">(1) Transaction costs amounting to $0.3 mill are recognized against "Additional paid-in capital". </t>
  </si>
  <si>
    <t xml:space="preserve">   issued and outstanding 338,579,996 shares </t>
  </si>
  <si>
    <t>Income taxes paid</t>
  </si>
  <si>
    <t xml:space="preserve">Property and equipment </t>
  </si>
  <si>
    <t>Revolving credit facility, due 2020</t>
  </si>
  <si>
    <t>Accelerated amortization of MultiClient library</t>
  </si>
  <si>
    <t xml:space="preserve">     Long-term debt, gross (1)</t>
  </si>
  <si>
    <t>Adjustment to prior years capital expenditures</t>
  </si>
  <si>
    <t>September 30,</t>
  </si>
  <si>
    <t>For the nine months ended September 30, 2016</t>
  </si>
  <si>
    <t>Balance as of September 30, 2016</t>
  </si>
  <si>
    <t>For the nine months ended September 30, 2017</t>
  </si>
  <si>
    <t>Balance as of September 30, 2017</t>
  </si>
  <si>
    <t>Nine months ended</t>
  </si>
  <si>
    <t>Notes to the Condensed Interim Consolidated Financial Statements - Third Quarter 2017</t>
  </si>
  <si>
    <t>Onerous lease contracts</t>
  </si>
  <si>
    <t>Change in working capital and capital leases</t>
  </si>
  <si>
    <t>Actuarial gains (losses) on defined benefit pensions plan</t>
  </si>
  <si>
    <t>Share based payments</t>
  </si>
  <si>
    <t>Share</t>
  </si>
  <si>
    <t xml:space="preserve">Change in deferred tax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</si>
</sst>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&quot;kr&quot;\ * #,##0.00_ ;_ &quot;kr&quot;\ * \-#,##0.00_ ;_ &quot;kr&quot;\ * &quot;-&quot;??_ ;_ @_ "/>
    <numFmt numFmtId="166" formatCode="_ * #,##0.00_ ;_ * \-#,##0.00_ ;_ * &quot;-&quot;??_ ;_ @_ "/>
    <numFmt numFmtId="167" formatCode="_-* #,##0_-;\-* #,##0_-;_-* &quot;-&quot;_-;_-@_-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_(&quot;$&quot;\ * #,##0_);_(&quot;$&quot;\ * \(#,##0\);_(&quot;$&quot;\ * &quot;-&quot;_);_(@_)"/>
    <numFmt numFmtId="171" formatCode="_(* #,##0_);_(* \(#,##0\);_(* &quot;-&quot;??_);_(@_)"/>
    <numFmt numFmtId="172" formatCode="_(&quot;$&quot;* #,##0_);_(&quot;$&quot;* \(#,##0\);_(&quot;$&quot;* &quot;-&quot;??_);_(@_)"/>
    <numFmt numFmtId="173" formatCode="_ * #,##0_ ;_ * \(#,##0\)_ ;_ * &quot;-&quot;_ ;_ @_ "/>
    <numFmt numFmtId="174" formatCode="_(* #,##0.0_);_(* \(#,##0.0\);_(* &quot;-&quot;??_);_(@_)"/>
    <numFmt numFmtId="175" formatCode="#,##0;[Red]\(#,##0\)"/>
    <numFmt numFmtId="176" formatCode="_(* #,##0,;_(* \(#,##0,\);_(* &quot;-&quot;_);_(@_)"/>
    <numFmt numFmtId="177" formatCode="_(* #,##0.0_);_(* \(#,##0.0\);_(* &quot;-&quot;_);_(@_)"/>
    <numFmt numFmtId="178" formatCode="_ * #,##0.0_ ;_ * \-#,##0.0_ ;_ * &quot;-&quot;?_ ;_ @_ "/>
    <numFmt numFmtId="179" formatCode="_(* #,##0.000_);_(* \(#,##0.000\);_(* &quot;-&quot;_);_(@_)"/>
  </numFmts>
  <fonts count="8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Univers 55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8"/>
      <color theme="4" tint="-0.249977111117893"/>
      <name val="Arial"/>
      <family val="2"/>
    </font>
    <font>
      <sz val="8"/>
      <color theme="4" tint="-0.249977111117893"/>
      <name val="Times New Roman"/>
      <family val="1"/>
    </font>
    <font>
      <sz val="10"/>
      <color theme="3" tint="0.39997558519241921"/>
      <name val="Arial"/>
      <family val="2"/>
    </font>
    <font>
      <sz val="10"/>
      <color theme="3" tint="0.39997558519241921"/>
      <name val="Times New Roman"/>
      <family val="1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6"/>
      <name val="Univers (WN)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8"/>
      <color indexed="9"/>
      <name val="Times New Roman"/>
      <family val="1"/>
    </font>
    <font>
      <b/>
      <sz val="8"/>
      <color indexed="9"/>
      <name val="Arial"/>
      <family val="2"/>
    </font>
    <font>
      <sz val="8"/>
      <name val="Helv"/>
    </font>
    <font>
      <sz val="12"/>
      <name val="Times New Roman Cyr"/>
      <charset val="204"/>
    </font>
    <font>
      <b/>
      <sz val="9"/>
      <name val="Arial"/>
      <family val="2"/>
    </font>
    <font>
      <sz val="8"/>
      <color indexed="13"/>
      <name val="MS Sans Serif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Maiandra GD"/>
      <family val="2"/>
    </font>
    <font>
      <u/>
      <sz val="8"/>
      <color rgb="FF0000FF"/>
      <name val="Calibri"/>
      <family val="2"/>
      <scheme val="minor"/>
    </font>
    <font>
      <sz val="9"/>
      <color theme="1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name val="Helv"/>
    </font>
    <font>
      <sz val="24"/>
      <name val="Helv"/>
    </font>
    <font>
      <b/>
      <sz val="10"/>
      <name val="MS Sans Serif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strike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  <font>
      <i/>
      <sz val="10"/>
      <name val="Calibri"/>
      <family val="2"/>
    </font>
    <font>
      <b/>
      <i/>
      <sz val="11"/>
      <color rgb="FFFF000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b/>
      <sz val="10"/>
      <color indexed="10"/>
      <name val="Arial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sz val="8"/>
      <color theme="4" tint="-0.249977111117893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18"/>
      </patternFill>
    </fill>
    <fill>
      <patternFill patternType="solid">
        <fgColor rgb="FFF2F2F2"/>
        <bgColor indexed="64"/>
      </patternFill>
    </fill>
    <fill>
      <patternFill patternType="gray125">
        <fgColor indexed="8"/>
      </patternFill>
    </fill>
    <fill>
      <patternFill patternType="mediumGray">
        <fgColor indexed="22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39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NumberFormat="0" applyAlignment="0" applyProtection="0"/>
    <xf numFmtId="0" fontId="35" fillId="0" borderId="0" applyNumberFormat="0" applyFill="0" applyBorder="0" applyAlignment="0"/>
    <xf numFmtId="0" fontId="36" fillId="0" borderId="0"/>
    <xf numFmtId="0" fontId="37" fillId="0" borderId="0"/>
    <xf numFmtId="0" fontId="36" fillId="0" borderId="0"/>
    <xf numFmtId="0" fontId="37" fillId="0" borderId="0"/>
    <xf numFmtId="0" fontId="38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15" borderId="8" applyNumberFormat="0" applyProtection="0">
      <alignment vertical="center"/>
    </xf>
    <xf numFmtId="0" fontId="26" fillId="15" borderId="9" applyNumberFormat="0" applyProtection="0"/>
    <xf numFmtId="0" fontId="40" fillId="15" borderId="10" applyNumberFormat="0" applyProtection="0">
      <alignment vertical="center"/>
    </xf>
    <xf numFmtId="0" fontId="40" fillId="15" borderId="11" applyNumberFormat="0" applyProtection="0">
      <alignment vertical="center"/>
    </xf>
    <xf numFmtId="0" fontId="40" fillId="15" borderId="0" applyNumberFormat="0" applyProtection="0">
      <alignment vertical="center"/>
    </xf>
    <xf numFmtId="0" fontId="33" fillId="0" borderId="12" applyNumberFormat="0" applyProtection="0"/>
    <xf numFmtId="0" fontId="29" fillId="0" borderId="13" applyNumberFormat="0" applyProtection="0">
      <alignment horizontal="left" textRotation="90" wrapText="1"/>
    </xf>
    <xf numFmtId="0" fontId="41" fillId="15" borderId="0" applyNumberFormat="0" applyProtection="0"/>
    <xf numFmtId="0" fontId="42" fillId="0" borderId="0" applyNumberFormat="0" applyFill="0" applyBorder="0" applyAlignment="0" applyProtection="0"/>
    <xf numFmtId="0" fontId="43" fillId="0" borderId="0"/>
    <xf numFmtId="0" fontId="20" fillId="0" borderId="0"/>
    <xf numFmtId="0" fontId="17" fillId="0" borderId="0"/>
    <xf numFmtId="0" fontId="44" fillId="0" borderId="0"/>
    <xf numFmtId="0" fontId="34" fillId="0" borderId="0"/>
    <xf numFmtId="0" fontId="29" fillId="0" borderId="0"/>
    <xf numFmtId="175" fontId="45" fillId="16" borderId="0"/>
    <xf numFmtId="175" fontId="45" fillId="16" borderId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46" fillId="0" borderId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0" borderId="0"/>
    <xf numFmtId="43" fontId="4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3" fontId="19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17" borderId="0">
      <alignment horizontal="right"/>
    </xf>
    <xf numFmtId="38" fontId="53" fillId="0" borderId="0"/>
    <xf numFmtId="38" fontId="54" fillId="0" borderId="0"/>
    <xf numFmtId="38" fontId="55" fillId="0" borderId="0"/>
    <xf numFmtId="38" fontId="56" fillId="0" borderId="0"/>
    <xf numFmtId="0" fontId="19" fillId="0" borderId="0"/>
    <xf numFmtId="0" fontId="19" fillId="0" borderId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8" fontId="57" fillId="0" borderId="0" applyFont="0" applyFill="0" applyBorder="0" applyAlignment="0" applyProtection="0"/>
    <xf numFmtId="37" fontId="58" fillId="18" borderId="0"/>
    <xf numFmtId="37" fontId="59" fillId="18" borderId="14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9" fillId="0" borderId="0"/>
    <xf numFmtId="0" fontId="2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6" fillId="0" borderId="0"/>
    <xf numFmtId="0" fontId="1" fillId="0" borderId="0"/>
    <xf numFmtId="0" fontId="1" fillId="0" borderId="0"/>
    <xf numFmtId="0" fontId="2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7" fillId="0" borderId="0" applyNumberFormat="0" applyFont="0" applyFill="0" applyBorder="0" applyAlignment="0" applyProtection="0">
      <alignment horizontal="left"/>
    </xf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60" fillId="0" borderId="1">
      <alignment horizontal="center"/>
    </xf>
    <xf numFmtId="3" fontId="57" fillId="0" borderId="0" applyFont="0" applyFill="0" applyBorder="0" applyAlignment="0" applyProtection="0"/>
    <xf numFmtId="0" fontId="57" fillId="19" borderId="0" applyNumberFormat="0" applyFont="0" applyBorder="0" applyAlignment="0" applyProtection="0"/>
    <xf numFmtId="0" fontId="17" fillId="2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556">
    <xf numFmtId="0" fontId="0" fillId="0" borderId="0" xfId="0"/>
    <xf numFmtId="0" fontId="3" fillId="0" borderId="0" xfId="0" applyFont="1"/>
    <xf numFmtId="171" fontId="3" fillId="0" borderId="0" xfId="1" applyNumberFormat="1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171" fontId="3" fillId="0" borderId="0" xfId="1" applyNumberFormat="1" applyFont="1" applyBorder="1" applyAlignment="1">
      <alignment horizontal="left"/>
    </xf>
    <xf numFmtId="0" fontId="0" fillId="0" borderId="1" xfId="0" applyBorder="1"/>
    <xf numFmtId="0" fontId="3" fillId="0" borderId="0" xfId="0" applyFont="1" applyBorder="1"/>
    <xf numFmtId="0" fontId="3" fillId="0" borderId="0" xfId="0" applyFont="1" applyAlignment="1"/>
    <xf numFmtId="0" fontId="7" fillId="0" borderId="0" xfId="0" applyFont="1" applyAlignment="1"/>
    <xf numFmtId="172" fontId="3" fillId="0" borderId="0" xfId="0" applyNumberFormat="1" applyFont="1"/>
    <xf numFmtId="41" fontId="3" fillId="0" borderId="0" xfId="0" applyNumberFormat="1" applyFont="1"/>
    <xf numFmtId="172" fontId="3" fillId="0" borderId="0" xfId="2" applyNumberFormat="1" applyFont="1" applyBorder="1"/>
    <xf numFmtId="41" fontId="3" fillId="0" borderId="0" xfId="0" applyNumberFormat="1" applyFont="1" applyFill="1"/>
    <xf numFmtId="171" fontId="6" fillId="0" borderId="0" xfId="1" applyNumberFormat="1" applyFont="1" applyBorder="1" applyAlignment="1">
      <alignment horizontal="left"/>
    </xf>
    <xf numFmtId="172" fontId="6" fillId="0" borderId="0" xfId="2" applyNumberFormat="1" applyFont="1" applyFill="1" applyBorder="1"/>
    <xf numFmtId="171" fontId="6" fillId="0" borderId="0" xfId="1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7" fillId="0" borderId="0" xfId="0" applyFont="1" applyBorder="1"/>
    <xf numFmtId="41" fontId="3" fillId="0" borderId="0" xfId="0" applyNumberFormat="1" applyFont="1" applyFill="1" applyBorder="1"/>
    <xf numFmtId="0" fontId="0" fillId="0" borderId="0" xfId="0" applyFill="1"/>
    <xf numFmtId="172" fontId="6" fillId="0" borderId="0" xfId="2" applyNumberFormat="1" applyFont="1" applyBorder="1"/>
    <xf numFmtId="170" fontId="8" fillId="0" borderId="0" xfId="0" applyNumberFormat="1" applyFont="1" applyFill="1"/>
    <xf numFmtId="0" fontId="8" fillId="0" borderId="0" xfId="0" applyFont="1"/>
    <xf numFmtId="0" fontId="8" fillId="0" borderId="0" xfId="0" applyFont="1" applyFill="1"/>
    <xf numFmtId="0" fontId="3" fillId="0" borderId="0" xfId="0" applyFont="1" applyFill="1" applyAlignment="1">
      <alignment horizontal="center"/>
    </xf>
    <xf numFmtId="173" fontId="3" fillId="0" borderId="0" xfId="1" applyNumberFormat="1" applyFont="1" applyBorder="1"/>
    <xf numFmtId="172" fontId="4" fillId="0" borderId="0" xfId="2" applyNumberFormat="1" applyFont="1" applyFill="1" applyBorder="1"/>
    <xf numFmtId="0" fontId="0" fillId="0" borderId="0" xfId="0" applyFill="1" applyBorder="1"/>
    <xf numFmtId="0" fontId="0" fillId="0" borderId="0" xfId="0" applyBorder="1"/>
    <xf numFmtId="171" fontId="3" fillId="0" borderId="0" xfId="1" applyNumberFormat="1" applyFont="1" applyFill="1" applyAlignment="1">
      <alignment horizontal="left"/>
    </xf>
    <xf numFmtId="171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11" fillId="0" borderId="0" xfId="0" applyFont="1"/>
    <xf numFmtId="43" fontId="3" fillId="0" borderId="0" xfId="0" applyNumberFormat="1" applyFont="1"/>
    <xf numFmtId="0" fontId="14" fillId="0" borderId="0" xfId="0" applyFont="1"/>
    <xf numFmtId="0" fontId="3" fillId="0" borderId="0" xfId="3" applyFont="1"/>
    <xf numFmtId="0" fontId="3" fillId="0" borderId="0" xfId="3" applyFont="1" applyBorder="1"/>
    <xf numFmtId="0" fontId="2" fillId="0" borderId="0" xfId="3"/>
    <xf numFmtId="0" fontId="3" fillId="0" borderId="0" xfId="3" applyFont="1" applyBorder="1" applyAlignment="1">
      <alignment horizontal="center"/>
    </xf>
    <xf numFmtId="0" fontId="3" fillId="0" borderId="0" xfId="3" applyFont="1" applyBorder="1" applyAlignment="1"/>
    <xf numFmtId="0" fontId="2" fillId="0" borderId="0" xfId="3" applyBorder="1"/>
    <xf numFmtId="0" fontId="4" fillId="0" borderId="0" xfId="3" applyFont="1" applyFill="1" applyBorder="1"/>
    <xf numFmtId="0" fontId="2" fillId="0" borderId="0" xfId="3" applyFont="1" applyFill="1"/>
    <xf numFmtId="0" fontId="3" fillId="0" borderId="0" xfId="3" applyFont="1" applyFill="1" applyBorder="1"/>
    <xf numFmtId="0" fontId="3" fillId="0" borderId="0" xfId="3" applyFont="1" applyFill="1"/>
    <xf numFmtId="0" fontId="15" fillId="0" borderId="0" xfId="3" applyFont="1" applyAlignment="1">
      <alignment horizontal="left"/>
    </xf>
    <xf numFmtId="170" fontId="4" fillId="0" borderId="0" xfId="3" applyNumberFormat="1" applyFont="1" applyFill="1" applyBorder="1"/>
    <xf numFmtId="41" fontId="3" fillId="0" borderId="0" xfId="3" applyNumberFormat="1" applyFont="1" applyFill="1" applyBorder="1"/>
    <xf numFmtId="41" fontId="3" fillId="0" borderId="0" xfId="3" applyNumberFormat="1" applyFont="1" applyFill="1"/>
    <xf numFmtId="41" fontId="3" fillId="0" borderId="0" xfId="3" applyNumberFormat="1" applyFont="1"/>
    <xf numFmtId="170" fontId="3" fillId="0" borderId="0" xfId="3" applyNumberFormat="1" applyFont="1"/>
    <xf numFmtId="0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0" borderId="0" xfId="3" applyFont="1"/>
    <xf numFmtId="0" fontId="2" fillId="0" borderId="0" xfId="3" applyFill="1"/>
    <xf numFmtId="171" fontId="3" fillId="0" borderId="0" xfId="3" applyNumberFormat="1" applyFont="1"/>
    <xf numFmtId="170" fontId="3" fillId="0" borderId="0" xfId="3" applyNumberFormat="1" applyFont="1" applyBorder="1"/>
    <xf numFmtId="0" fontId="17" fillId="0" borderId="0" xfId="3" applyFont="1" applyFill="1" applyBorder="1"/>
    <xf numFmtId="0" fontId="3" fillId="0" borderId="2" xfId="3" applyFont="1" applyFill="1" applyBorder="1"/>
    <xf numFmtId="173" fontId="11" fillId="0" borderId="0" xfId="3" applyNumberFormat="1" applyFont="1" applyFill="1"/>
    <xf numFmtId="173" fontId="3" fillId="0" borderId="0" xfId="3" applyNumberFormat="1" applyFont="1" applyAlignment="1">
      <alignment horizontal="center"/>
    </xf>
    <xf numFmtId="173" fontId="3" fillId="0" borderId="0" xfId="3" applyNumberFormat="1" applyFont="1" applyBorder="1" applyAlignment="1">
      <alignment horizontal="center"/>
    </xf>
    <xf numFmtId="41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41" fontId="8" fillId="0" borderId="0" xfId="3" applyNumberFormat="1" applyFont="1"/>
    <xf numFmtId="41" fontId="4" fillId="0" borderId="0" xfId="3" applyNumberFormat="1" applyFont="1" applyFill="1" applyBorder="1"/>
    <xf numFmtId="0" fontId="8" fillId="0" borderId="0" xfId="3" applyFont="1" applyFill="1"/>
    <xf numFmtId="170" fontId="8" fillId="0" borderId="0" xfId="3" applyNumberFormat="1" applyFont="1" applyFill="1" applyBorder="1"/>
    <xf numFmtId="164" fontId="3" fillId="0" borderId="0" xfId="3" applyNumberFormat="1" applyFont="1"/>
    <xf numFmtId="170" fontId="2" fillId="0" borderId="0" xfId="3" applyNumberFormat="1" applyFill="1"/>
    <xf numFmtId="0" fontId="18" fillId="0" borderId="0" xfId="3" applyFont="1" applyFill="1"/>
    <xf numFmtId="170" fontId="18" fillId="0" borderId="0" xfId="3" applyNumberFormat="1" applyFont="1" applyFill="1" applyAlignment="1"/>
    <xf numFmtId="0" fontId="3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3" fillId="0" borderId="0" xfId="3" applyFont="1" applyAlignment="1">
      <alignment horizontal="centerContinuous"/>
    </xf>
    <xf numFmtId="0" fontId="14" fillId="0" borderId="0" xfId="0" quotePrefix="1" applyFont="1"/>
    <xf numFmtId="0" fontId="7" fillId="0" borderId="0" xfId="0" applyFont="1" applyFill="1" applyBorder="1"/>
    <xf numFmtId="172" fontId="16" fillId="0" borderId="0" xfId="2" applyNumberFormat="1" applyFont="1" applyFill="1" applyBorder="1"/>
    <xf numFmtId="172" fontId="16" fillId="0" borderId="0" xfId="2" applyNumberFormat="1" applyFont="1" applyBorder="1"/>
    <xf numFmtId="0" fontId="12" fillId="0" borderId="0" xfId="0" applyFont="1" applyBorder="1"/>
    <xf numFmtId="0" fontId="11" fillId="0" borderId="0" xfId="0" applyFont="1" applyBorder="1"/>
    <xf numFmtId="0" fontId="11" fillId="0" borderId="0" xfId="0" applyFont="1" applyFill="1"/>
    <xf numFmtId="0" fontId="12" fillId="0" borderId="0" xfId="0" applyFont="1" applyFill="1"/>
    <xf numFmtId="0" fontId="5" fillId="0" borderId="0" xfId="3" applyFont="1" applyFill="1" applyBorder="1" applyAlignment="1"/>
    <xf numFmtId="0" fontId="3" fillId="0" borderId="0" xfId="3" applyFont="1" applyFill="1" applyBorder="1" applyAlignment="1">
      <alignment horizontal="center"/>
    </xf>
    <xf numFmtId="174" fontId="3" fillId="0" borderId="0" xfId="1" applyNumberFormat="1" applyFont="1" applyFill="1"/>
    <xf numFmtId="0" fontId="3" fillId="0" borderId="0" xfId="3" applyFont="1" applyFill="1" applyBorder="1" applyAlignment="1"/>
    <xf numFmtId="174" fontId="3" fillId="0" borderId="0" xfId="1" applyNumberFormat="1" applyFont="1" applyFill="1" applyBorder="1"/>
    <xf numFmtId="174" fontId="3" fillId="0" borderId="0" xfId="1" applyNumberFormat="1" applyFont="1" applyBorder="1"/>
    <xf numFmtId="174" fontId="16" fillId="0" borderId="0" xfId="1" applyNumberFormat="1" applyFont="1" applyFill="1" applyBorder="1"/>
    <xf numFmtId="174" fontId="4" fillId="0" borderId="0" xfId="1" applyNumberFormat="1" applyFont="1" applyFill="1" applyBorder="1"/>
    <xf numFmtId="174" fontId="3" fillId="0" borderId="0" xfId="1" applyNumberFormat="1" applyFont="1"/>
    <xf numFmtId="174" fontId="11" fillId="0" borderId="0" xfId="1" applyNumberFormat="1" applyFont="1"/>
    <xf numFmtId="174" fontId="6" fillId="0" borderId="0" xfId="1" applyNumberFormat="1" applyFont="1" applyFill="1" applyBorder="1"/>
    <xf numFmtId="174" fontId="11" fillId="0" borderId="0" xfId="1" applyNumberFormat="1" applyFont="1" applyBorder="1"/>
    <xf numFmtId="172" fontId="23" fillId="0" borderId="0" xfId="3" applyNumberFormat="1" applyFont="1" applyFill="1" applyBorder="1"/>
    <xf numFmtId="0" fontId="9" fillId="0" borderId="0" xfId="0" applyFont="1" applyAlignment="1"/>
    <xf numFmtId="174" fontId="16" fillId="0" borderId="0" xfId="1" applyNumberFormat="1" applyFont="1" applyBorder="1"/>
    <xf numFmtId="0" fontId="3" fillId="0" borderId="0" xfId="0" applyFont="1" applyBorder="1" applyAlignment="1">
      <alignment horizontal="center"/>
    </xf>
    <xf numFmtId="173" fontId="24" fillId="0" borderId="0" xfId="0" applyNumberFormat="1" applyFont="1" applyBorder="1"/>
    <xf numFmtId="173" fontId="25" fillId="0" borderId="0" xfId="1" applyNumberFormat="1" applyFont="1" applyBorder="1"/>
    <xf numFmtId="16" fontId="3" fillId="0" borderId="0" xfId="3" quotePrefix="1" applyNumberFormat="1" applyFont="1" applyBorder="1" applyAlignment="1"/>
    <xf numFmtId="0" fontId="12" fillId="0" borderId="0" xfId="0" applyFont="1" applyFill="1" applyBorder="1"/>
    <xf numFmtId="43" fontId="3" fillId="0" borderId="0" xfId="1" applyFont="1"/>
    <xf numFmtId="0" fontId="26" fillId="0" borderId="0" xfId="0" applyFont="1" applyAlignment="1"/>
    <xf numFmtId="0" fontId="27" fillId="0" borderId="0" xfId="0" applyFont="1" applyBorder="1"/>
    <xf numFmtId="0" fontId="26" fillId="0" borderId="0" xfId="0" applyFont="1" applyBorder="1"/>
    <xf numFmtId="174" fontId="30" fillId="0" borderId="0" xfId="1" applyNumberFormat="1" applyFont="1" applyFill="1" applyBorder="1"/>
    <xf numFmtId="172" fontId="13" fillId="0" borderId="0" xfId="2" applyNumberFormat="1" applyFont="1" applyFill="1" applyBorder="1"/>
    <xf numFmtId="174" fontId="31" fillId="0" borderId="0" xfId="1" applyNumberFormat="1" applyFont="1" applyFill="1" applyBorder="1"/>
    <xf numFmtId="0" fontId="32" fillId="0" borderId="0" xfId="0" applyFont="1" applyFill="1" applyBorder="1"/>
    <xf numFmtId="0" fontId="32" fillId="0" borderId="0" xfId="0" applyFont="1" applyBorder="1"/>
    <xf numFmtId="0" fontId="16" fillId="0" borderId="0" xfId="3" applyFont="1" applyFill="1" applyBorder="1"/>
    <xf numFmtId="0" fontId="21" fillId="0" borderId="0" xfId="3" applyFont="1" applyFill="1" applyBorder="1"/>
    <xf numFmtId="0" fontId="11" fillId="0" borderId="0" xfId="0" applyFont="1" applyAlignment="1"/>
    <xf numFmtId="171" fontId="3" fillId="0" borderId="0" xfId="1" applyNumberFormat="1" applyFont="1"/>
    <xf numFmtId="174" fontId="3" fillId="0" borderId="0" xfId="0" applyNumberFormat="1" applyFont="1"/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/>
    <xf numFmtId="176" fontId="2" fillId="0" borderId="0" xfId="392" applyNumberFormat="1" applyFont="1" applyFill="1" applyBorder="1"/>
    <xf numFmtId="16" fontId="3" fillId="0" borderId="0" xfId="3" applyNumberFormat="1" applyFont="1" applyBorder="1" applyAlignment="1"/>
    <xf numFmtId="0" fontId="27" fillId="0" borderId="0" xfId="0" applyFont="1" applyFill="1" applyBorder="1"/>
    <xf numFmtId="0" fontId="9" fillId="0" borderId="0" xfId="3" applyFont="1" applyAlignment="1">
      <alignment horizontal="center"/>
    </xf>
    <xf numFmtId="171" fontId="3" fillId="0" borderId="0" xfId="3" applyNumberFormat="1" applyFont="1" applyFill="1"/>
    <xf numFmtId="0" fontId="63" fillId="0" borderId="0" xfId="3" applyFont="1" applyFill="1" applyBorder="1"/>
    <xf numFmtId="0" fontId="62" fillId="0" borderId="0" xfId="3" applyFont="1" applyFill="1" applyBorder="1"/>
    <xf numFmtId="0" fontId="62" fillId="0" borderId="0" xfId="3" applyFont="1" applyFill="1"/>
    <xf numFmtId="0" fontId="62" fillId="0" borderId="2" xfId="3" applyFont="1" applyFill="1" applyBorder="1"/>
    <xf numFmtId="0" fontId="63" fillId="0" borderId="4" xfId="3" applyFont="1" applyFill="1" applyBorder="1"/>
    <xf numFmtId="0" fontId="65" fillId="0" borderId="2" xfId="3" applyFont="1" applyFill="1" applyBorder="1"/>
    <xf numFmtId="0" fontId="62" fillId="0" borderId="0" xfId="3" applyFont="1" applyFill="1" applyBorder="1" applyAlignment="1">
      <alignment horizontal="center"/>
    </xf>
    <xf numFmtId="0" fontId="62" fillId="0" borderId="0" xfId="3" applyFont="1" applyAlignment="1">
      <alignment horizontal="center"/>
    </xf>
    <xf numFmtId="41" fontId="62" fillId="0" borderId="0" xfId="3" applyNumberFormat="1" applyFont="1" applyAlignment="1">
      <alignment horizontal="center"/>
    </xf>
    <xf numFmtId="0" fontId="62" fillId="0" borderId="0" xfId="3" applyFont="1" applyBorder="1" applyAlignment="1">
      <alignment horizontal="center"/>
    </xf>
    <xf numFmtId="41" fontId="62" fillId="0" borderId="0" xfId="3" applyNumberFormat="1" applyFont="1" applyBorder="1" applyAlignment="1">
      <alignment horizontal="center"/>
    </xf>
    <xf numFmtId="173" fontId="62" fillId="0" borderId="2" xfId="3" applyNumberFormat="1" applyFont="1" applyBorder="1" applyAlignment="1">
      <alignment horizontal="center"/>
    </xf>
    <xf numFmtId="173" fontId="62" fillId="0" borderId="0" xfId="3" applyNumberFormat="1" applyFont="1" applyAlignment="1">
      <alignment horizontal="center"/>
    </xf>
    <xf numFmtId="173" fontId="62" fillId="0" borderId="0" xfId="3" applyNumberFormat="1" applyFont="1" applyBorder="1" applyAlignment="1">
      <alignment horizontal="center"/>
    </xf>
    <xf numFmtId="0" fontId="62" fillId="0" borderId="2" xfId="3" applyFont="1" applyBorder="1" applyAlignment="1">
      <alignment horizontal="center"/>
    </xf>
    <xf numFmtId="174" fontId="63" fillId="0" borderId="0" xfId="1" applyNumberFormat="1" applyFont="1" applyFill="1"/>
    <xf numFmtId="174" fontId="63" fillId="0" borderId="0" xfId="1" applyNumberFormat="1" applyFont="1" applyFill="1" applyBorder="1"/>
    <xf numFmtId="174" fontId="62" fillId="0" borderId="0" xfId="1" applyNumberFormat="1" applyFont="1" applyFill="1"/>
    <xf numFmtId="174" fontId="62" fillId="0" borderId="0" xfId="1" applyNumberFormat="1" applyFont="1" applyFill="1" applyBorder="1"/>
    <xf numFmtId="174" fontId="63" fillId="0" borderId="4" xfId="1" applyNumberFormat="1" applyFont="1" applyFill="1" applyBorder="1"/>
    <xf numFmtId="0" fontId="62" fillId="0" borderId="1" xfId="3" applyFont="1" applyBorder="1" applyAlignment="1">
      <alignment horizontal="center"/>
    </xf>
    <xf numFmtId="0" fontId="62" fillId="0" borderId="5" xfId="3" applyFont="1" applyBorder="1" applyAlignment="1">
      <alignment horizontal="center"/>
    </xf>
    <xf numFmtId="0" fontId="63" fillId="0" borderId="0" xfId="3" applyFont="1" applyBorder="1" applyAlignment="1">
      <alignment horizontal="center"/>
    </xf>
    <xf numFmtId="16" fontId="62" fillId="0" borderId="0" xfId="3" applyNumberFormat="1" applyFont="1" applyBorder="1" applyAlignment="1">
      <alignment horizontal="center"/>
    </xf>
    <xf numFmtId="0" fontId="65" fillId="0" borderId="1" xfId="3" applyFont="1" applyBorder="1" applyAlignment="1">
      <alignment horizontal="left"/>
    </xf>
    <xf numFmtId="0" fontId="63" fillId="0" borderId="1" xfId="3" applyFont="1" applyBorder="1" applyAlignment="1">
      <alignment horizontal="center"/>
    </xf>
    <xf numFmtId="0" fontId="62" fillId="0" borderId="1" xfId="3" applyFont="1" applyFill="1" applyBorder="1" applyAlignment="1">
      <alignment horizontal="center"/>
    </xf>
    <xf numFmtId="0" fontId="62" fillId="0" borderId="0" xfId="3" applyFont="1"/>
    <xf numFmtId="0" fontId="65" fillId="0" borderId="0" xfId="3" applyFont="1" applyFill="1" applyBorder="1" applyAlignment="1"/>
    <xf numFmtId="0" fontId="63" fillId="0" borderId="0" xfId="3" applyFont="1"/>
    <xf numFmtId="171" fontId="63" fillId="0" borderId="0" xfId="1" applyNumberFormat="1" applyFont="1" applyFill="1" applyAlignment="1"/>
    <xf numFmtId="171" fontId="62" fillId="0" borderId="0" xfId="1" applyNumberFormat="1" applyFont="1" applyFill="1" applyAlignment="1"/>
    <xf numFmtId="171" fontId="62" fillId="0" borderId="0" xfId="1" applyNumberFormat="1" applyFont="1" applyAlignment="1">
      <alignment horizontal="left"/>
    </xf>
    <xf numFmtId="174" fontId="62" fillId="0" borderId="0" xfId="1" applyNumberFormat="1" applyFont="1" applyBorder="1"/>
    <xf numFmtId="174" fontId="62" fillId="0" borderId="0" xfId="1" applyNumberFormat="1" applyFont="1"/>
    <xf numFmtId="171" fontId="62" fillId="0" borderId="0" xfId="1" quotePrefix="1" applyNumberFormat="1" applyFont="1" applyFill="1" applyBorder="1" applyAlignment="1">
      <alignment horizontal="left"/>
    </xf>
    <xf numFmtId="0" fontId="63" fillId="0" borderId="4" xfId="3" applyFont="1" applyBorder="1"/>
    <xf numFmtId="171" fontId="63" fillId="0" borderId="4" xfId="1" applyNumberFormat="1" applyFont="1" applyBorder="1" applyAlignment="1">
      <alignment horizontal="left"/>
    </xf>
    <xf numFmtId="171" fontId="62" fillId="0" borderId="4" xfId="1" applyNumberFormat="1" applyFont="1" applyBorder="1" applyAlignment="1">
      <alignment horizontal="left"/>
    </xf>
    <xf numFmtId="171" fontId="63" fillId="0" borderId="0" xfId="1" applyNumberFormat="1" applyFont="1" applyBorder="1" applyAlignment="1">
      <alignment horizontal="left"/>
    </xf>
    <xf numFmtId="174" fontId="62" fillId="0" borderId="4" xfId="1" applyNumberFormat="1" applyFont="1" applyFill="1" applyBorder="1"/>
    <xf numFmtId="171" fontId="62" fillId="0" borderId="0" xfId="1" applyNumberFormat="1" applyFont="1" applyBorder="1" applyAlignment="1">
      <alignment horizontal="left"/>
    </xf>
    <xf numFmtId="171" fontId="63" fillId="0" borderId="0" xfId="1" applyNumberFormat="1" applyFont="1" applyAlignment="1">
      <alignment horizontal="left"/>
    </xf>
    <xf numFmtId="171" fontId="62" fillId="0" borderId="0" xfId="1" applyNumberFormat="1" applyFont="1" applyFill="1" applyAlignment="1">
      <alignment horizontal="left"/>
    </xf>
    <xf numFmtId="171" fontId="62" fillId="0" borderId="0" xfId="1" applyNumberFormat="1" applyFont="1" applyFill="1" applyBorder="1" applyAlignment="1">
      <alignment horizontal="left"/>
    </xf>
    <xf numFmtId="171" fontId="63" fillId="0" borderId="3" xfId="1" applyNumberFormat="1" applyFont="1" applyBorder="1" applyAlignment="1">
      <alignment horizontal="left"/>
    </xf>
    <xf numFmtId="174" fontId="63" fillId="0" borderId="3" xfId="1" applyNumberFormat="1" applyFont="1" applyFill="1" applyBorder="1"/>
    <xf numFmtId="174" fontId="69" fillId="0" borderId="0" xfId="1" applyNumberFormat="1" applyFont="1" applyBorder="1"/>
    <xf numFmtId="0" fontId="67" fillId="0" borderId="1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" xfId="0" applyFont="1" applyBorder="1" applyAlignment="1">
      <alignment horizontal="center"/>
    </xf>
    <xf numFmtId="0" fontId="62" fillId="0" borderId="1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5" fillId="0" borderId="0" xfId="0" applyFont="1" applyBorder="1" applyAlignment="1"/>
    <xf numFmtId="0" fontId="62" fillId="0" borderId="0" xfId="0" applyFont="1" applyFill="1" applyBorder="1"/>
    <xf numFmtId="0" fontId="62" fillId="0" borderId="0" xfId="0" applyFont="1"/>
    <xf numFmtId="0" fontId="62" fillId="0" borderId="2" xfId="0" applyFont="1" applyFill="1" applyBorder="1"/>
    <xf numFmtId="174" fontId="62" fillId="0" borderId="2" xfId="1" applyNumberFormat="1" applyFont="1" applyFill="1" applyBorder="1"/>
    <xf numFmtId="0" fontId="62" fillId="0" borderId="1" xfId="0" applyFont="1" applyFill="1" applyBorder="1"/>
    <xf numFmtId="174" fontId="71" fillId="0" borderId="0" xfId="1" applyNumberFormat="1" applyFont="1" applyFill="1"/>
    <xf numFmtId="0" fontId="72" fillId="0" borderId="0" xfId="0" applyFont="1" applyFill="1" applyBorder="1"/>
    <xf numFmtId="0" fontId="67" fillId="0" borderId="1" xfId="0" applyFont="1" applyBorder="1"/>
    <xf numFmtId="0" fontId="67" fillId="0" borderId="1" xfId="0" applyFont="1" applyFill="1" applyBorder="1"/>
    <xf numFmtId="0" fontId="65" fillId="0" borderId="1" xfId="0" applyFont="1" applyBorder="1" applyAlignment="1"/>
    <xf numFmtId="0" fontId="71" fillId="0" borderId="0" xfId="0" applyFont="1" applyBorder="1" applyAlignment="1">
      <alignment horizontal="center"/>
    </xf>
    <xf numFmtId="171" fontId="63" fillId="0" borderId="0" xfId="1" applyNumberFormat="1" applyFont="1" applyBorder="1" applyAlignment="1">
      <alignment horizontal="center"/>
    </xf>
    <xf numFmtId="174" fontId="69" fillId="0" borderId="0" xfId="1" applyNumberFormat="1" applyFont="1" applyFill="1" applyBorder="1"/>
    <xf numFmtId="174" fontId="63" fillId="0" borderId="0" xfId="1" applyNumberFormat="1" applyFont="1" applyBorder="1"/>
    <xf numFmtId="0" fontId="63" fillId="0" borderId="0" xfId="0" applyFont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0" xfId="0" applyFont="1" applyBorder="1"/>
    <xf numFmtId="0" fontId="28" fillId="0" borderId="0" xfId="0" applyFont="1" applyBorder="1"/>
    <xf numFmtId="0" fontId="17" fillId="0" borderId="0" xfId="0" applyFont="1"/>
    <xf numFmtId="0" fontId="21" fillId="0" borderId="0" xfId="0" applyFont="1" applyFill="1"/>
    <xf numFmtId="0" fontId="62" fillId="0" borderId="0" xfId="3" applyFont="1" applyBorder="1"/>
    <xf numFmtId="0" fontId="66" fillId="0" borderId="0" xfId="0" applyFont="1" applyAlignment="1">
      <alignment horizontal="left"/>
    </xf>
    <xf numFmtId="0" fontId="67" fillId="0" borderId="0" xfId="3" applyFont="1" applyAlignment="1">
      <alignment horizontal="left"/>
    </xf>
    <xf numFmtId="0" fontId="67" fillId="0" borderId="0" xfId="3" applyFont="1" applyFill="1" applyAlignment="1">
      <alignment horizontal="left"/>
    </xf>
    <xf numFmtId="0" fontId="67" fillId="0" borderId="0" xfId="0" applyFont="1" applyAlignment="1">
      <alignment horizontal="left"/>
    </xf>
    <xf numFmtId="0" fontId="62" fillId="0" borderId="1" xfId="3" applyFont="1" applyFill="1" applyBorder="1"/>
    <xf numFmtId="0" fontId="70" fillId="0" borderId="0" xfId="3" applyFont="1" applyFill="1" applyBorder="1"/>
    <xf numFmtId="0" fontId="70" fillId="0" borderId="0" xfId="3" applyFont="1" applyFill="1"/>
    <xf numFmtId="0" fontId="65" fillId="0" borderId="2" xfId="3" applyFont="1" applyFill="1" applyBorder="1" applyAlignment="1">
      <alignment horizontal="left"/>
    </xf>
    <xf numFmtId="0" fontId="70" fillId="0" borderId="2" xfId="3" applyFont="1" applyFill="1" applyBorder="1"/>
    <xf numFmtId="0" fontId="62" fillId="0" borderId="0" xfId="3" applyNumberFormat="1" applyFont="1" applyFill="1" applyAlignment="1">
      <alignment horizontal="center"/>
    </xf>
    <xf numFmtId="0" fontId="62" fillId="0" borderId="2" xfId="3" applyNumberFormat="1" applyFont="1" applyFill="1" applyBorder="1" applyAlignment="1">
      <alignment horizontal="center"/>
    </xf>
    <xf numFmtId="174" fontId="70" fillId="0" borderId="0" xfId="1" applyNumberFormat="1" applyFont="1" applyFill="1" applyAlignment="1"/>
    <xf numFmtId="174" fontId="62" fillId="0" borderId="0" xfId="1" applyNumberFormat="1" applyFont="1" applyFill="1" applyAlignment="1"/>
    <xf numFmtId="174" fontId="70" fillId="0" borderId="0" xfId="1" applyNumberFormat="1" applyFont="1" applyFill="1" applyBorder="1" applyAlignment="1"/>
    <xf numFmtId="174" fontId="62" fillId="0" borderId="2" xfId="1" applyNumberFormat="1" applyFont="1" applyFill="1" applyBorder="1" applyAlignment="1"/>
    <xf numFmtId="173" fontId="74" fillId="0" borderId="0" xfId="3" applyNumberFormat="1" applyFont="1" applyFill="1" applyBorder="1"/>
    <xf numFmtId="170" fontId="62" fillId="0" borderId="0" xfId="3" applyNumberFormat="1" applyFont="1" applyFill="1" applyBorder="1"/>
    <xf numFmtId="170" fontId="62" fillId="0" borderId="0" xfId="3" applyNumberFormat="1" applyFont="1" applyFill="1"/>
    <xf numFmtId="41" fontId="62" fillId="0" borderId="0" xfId="3" applyNumberFormat="1" applyFont="1" applyFill="1"/>
    <xf numFmtId="170" fontId="63" fillId="0" borderId="0" xfId="3" applyNumberFormat="1" applyFont="1" applyFill="1" applyBorder="1"/>
    <xf numFmtId="170" fontId="70" fillId="0" borderId="0" xfId="3" applyNumberFormat="1" applyFont="1" applyFill="1" applyBorder="1"/>
    <xf numFmtId="0" fontId="65" fillId="0" borderId="2" xfId="3" applyFont="1" applyBorder="1"/>
    <xf numFmtId="0" fontId="66" fillId="0" borderId="0" xfId="3" applyFont="1" applyFill="1" applyAlignment="1">
      <alignment horizontal="left"/>
    </xf>
    <xf numFmtId="41" fontId="70" fillId="0" borderId="0" xfId="3" applyNumberFormat="1" applyFont="1"/>
    <xf numFmtId="41" fontId="62" fillId="0" borderId="0" xfId="3" applyNumberFormat="1" applyFont="1" applyFill="1" applyBorder="1"/>
    <xf numFmtId="41" fontId="71" fillId="0" borderId="0" xfId="3" applyNumberFormat="1" applyFont="1" applyFill="1" applyBorder="1"/>
    <xf numFmtId="170" fontId="69" fillId="0" borderId="0" xfId="3" applyNumberFormat="1" applyFont="1" applyFill="1" applyBorder="1"/>
    <xf numFmtId="41" fontId="70" fillId="0" borderId="0" xfId="3" applyNumberFormat="1" applyFont="1" applyFill="1"/>
    <xf numFmtId="41" fontId="62" fillId="0" borderId="0" xfId="3" applyNumberFormat="1" applyFont="1" applyFill="1" applyAlignment="1">
      <alignment horizontal="center"/>
    </xf>
    <xf numFmtId="41" fontId="70" fillId="0" borderId="0" xfId="3" applyNumberFormat="1" applyFont="1" applyFill="1" applyBorder="1"/>
    <xf numFmtId="41" fontId="62" fillId="0" borderId="1" xfId="3" applyNumberFormat="1" applyFont="1" applyFill="1" applyBorder="1"/>
    <xf numFmtId="0" fontId="65" fillId="0" borderId="0" xfId="3" applyFont="1" applyFill="1" applyBorder="1"/>
    <xf numFmtId="0" fontId="62" fillId="0" borderId="1" xfId="3" applyFont="1" applyFill="1" applyBorder="1" applyAlignment="1">
      <alignment horizontal="left"/>
    </xf>
    <xf numFmtId="41" fontId="63" fillId="0" borderId="0" xfId="3" applyNumberFormat="1" applyFont="1" applyFill="1" applyBorder="1"/>
    <xf numFmtId="9" fontId="62" fillId="0" borderId="0" xfId="1" applyNumberFormat="1" applyFont="1" applyFill="1"/>
    <xf numFmtId="0" fontId="76" fillId="0" borderId="0" xfId="3" quotePrefix="1" applyFont="1" applyFill="1" applyBorder="1"/>
    <xf numFmtId="0" fontId="76" fillId="0" borderId="0" xfId="3" applyFont="1" applyFill="1" applyBorder="1"/>
    <xf numFmtId="174" fontId="71" fillId="0" borderId="0" xfId="1" applyNumberFormat="1" applyFont="1" applyFill="1" applyBorder="1"/>
    <xf numFmtId="0" fontId="77" fillId="0" borderId="0" xfId="3" applyFont="1" applyFill="1" applyBorder="1"/>
    <xf numFmtId="0" fontId="66" fillId="0" borderId="0" xfId="3" applyFont="1" applyFill="1" applyBorder="1" applyAlignment="1">
      <alignment horizontal="left"/>
    </xf>
    <xf numFmtId="0" fontId="70" fillId="0" borderId="0" xfId="3" applyFont="1"/>
    <xf numFmtId="41" fontId="70" fillId="0" borderId="1" xfId="3" applyNumberFormat="1" applyFont="1" applyFill="1" applyBorder="1"/>
    <xf numFmtId="170" fontId="62" fillId="21" borderId="0" xfId="3" applyNumberFormat="1" applyFont="1" applyFill="1"/>
    <xf numFmtId="0" fontId="62" fillId="0" borderId="0" xfId="3" applyFont="1" applyFill="1" applyAlignment="1">
      <alignment wrapText="1"/>
    </xf>
    <xf numFmtId="41" fontId="62" fillId="21" borderId="0" xfId="3" applyNumberFormat="1" applyFont="1" applyFill="1"/>
    <xf numFmtId="170" fontId="63" fillId="0" borderId="0" xfId="3" applyNumberFormat="1" applyFont="1" applyFill="1"/>
    <xf numFmtId="0" fontId="76" fillId="0" borderId="0" xfId="3" applyFont="1"/>
    <xf numFmtId="0" fontId="62" fillId="21" borderId="0" xfId="3" applyFont="1" applyFill="1"/>
    <xf numFmtId="0" fontId="77" fillId="0" borderId="0" xfId="3" quotePrefix="1" applyFont="1" applyFill="1" applyBorder="1"/>
    <xf numFmtId="174" fontId="63" fillId="0" borderId="1" xfId="1" applyNumberFormat="1" applyFont="1" applyFill="1" applyBorder="1"/>
    <xf numFmtId="170" fontId="63" fillId="0" borderId="1" xfId="3" applyNumberFormat="1" applyFont="1" applyFill="1" applyBorder="1"/>
    <xf numFmtId="174" fontId="62" fillId="0" borderId="1" xfId="1" applyNumberFormat="1" applyFont="1" applyFill="1" applyBorder="1"/>
    <xf numFmtId="171" fontId="63" fillId="0" borderId="0" xfId="1" applyNumberFormat="1" applyFont="1" applyFill="1" applyBorder="1" applyAlignment="1">
      <alignment horizontal="left"/>
    </xf>
    <xf numFmtId="171" fontId="74" fillId="0" borderId="0" xfId="1" applyNumberFormat="1" applyFont="1" applyFill="1" applyBorder="1" applyAlignment="1">
      <alignment horizontal="left"/>
    </xf>
    <xf numFmtId="41" fontId="62" fillId="0" borderId="0" xfId="0" applyNumberFormat="1" applyFont="1" applyFill="1" applyBorder="1"/>
    <xf numFmtId="171" fontId="62" fillId="0" borderId="0" xfId="1" applyNumberFormat="1" applyFont="1" applyFill="1" applyBorder="1" applyAlignment="1">
      <alignment horizontal="center"/>
    </xf>
    <xf numFmtId="44" fontId="62" fillId="0" borderId="0" xfId="2" applyNumberFormat="1" applyFont="1" applyFill="1" applyBorder="1"/>
    <xf numFmtId="43" fontId="62" fillId="0" borderId="0" xfId="1" applyFont="1" applyFill="1"/>
    <xf numFmtId="171" fontId="62" fillId="0" borderId="2" xfId="1" applyNumberFormat="1" applyFont="1" applyBorder="1" applyAlignment="1">
      <alignment horizontal="left"/>
    </xf>
    <xf numFmtId="171" fontId="62" fillId="0" borderId="2" xfId="1" quotePrefix="1" applyNumberFormat="1" applyFont="1" applyBorder="1" applyAlignment="1">
      <alignment horizontal="center"/>
    </xf>
    <xf numFmtId="43" fontId="62" fillId="0" borderId="2" xfId="1" applyFont="1" applyFill="1" applyBorder="1"/>
    <xf numFmtId="2" fontId="62" fillId="0" borderId="0" xfId="0" applyNumberFormat="1" applyFont="1" applyBorder="1" applyAlignment="1">
      <alignment horizontal="left"/>
    </xf>
    <xf numFmtId="44" fontId="63" fillId="0" borderId="0" xfId="0" applyNumberFormat="1" applyFont="1" applyBorder="1"/>
    <xf numFmtId="0" fontId="62" fillId="0" borderId="2" xfId="3" quotePrefix="1" applyNumberFormat="1" applyFont="1" applyFill="1" applyBorder="1" applyAlignment="1">
      <alignment horizontal="center"/>
    </xf>
    <xf numFmtId="41" fontId="71" fillId="0" borderId="0" xfId="3" applyNumberFormat="1" applyFont="1" applyFill="1"/>
    <xf numFmtId="171" fontId="62" fillId="0" borderId="0" xfId="3" applyNumberFormat="1" applyFont="1" applyFill="1" applyBorder="1"/>
    <xf numFmtId="171" fontId="62" fillId="0" borderId="0" xfId="0" applyNumberFormat="1" applyFont="1" applyFill="1" applyBorder="1"/>
    <xf numFmtId="44" fontId="63" fillId="0" borderId="0" xfId="0" applyNumberFormat="1" applyFont="1" applyFill="1" applyBorder="1"/>
    <xf numFmtId="0" fontId="63" fillId="0" borderId="4" xfId="0" applyFont="1" applyFill="1" applyBorder="1"/>
    <xf numFmtId="0" fontId="63" fillId="0" borderId="0" xfId="3" applyFont="1" applyFill="1"/>
    <xf numFmtId="0" fontId="17" fillId="0" borderId="0" xfId="3" applyFont="1"/>
    <xf numFmtId="170" fontId="78" fillId="0" borderId="0" xfId="3" applyNumberFormat="1" applyFont="1" applyFill="1" applyBorder="1" applyAlignment="1"/>
    <xf numFmtId="0" fontId="10" fillId="0" borderId="0" xfId="3" applyFont="1" applyFill="1" applyBorder="1"/>
    <xf numFmtId="0" fontId="78" fillId="0" borderId="0" xfId="3" applyFont="1" applyFill="1" applyBorder="1"/>
    <xf numFmtId="171" fontId="62" fillId="0" borderId="0" xfId="1" quotePrefix="1" applyNumberFormat="1" applyFont="1" applyFill="1" applyBorder="1" applyAlignment="1">
      <alignment horizontal="center"/>
    </xf>
    <xf numFmtId="171" fontId="62" fillId="0" borderId="0" xfId="1" applyNumberFormat="1" applyFont="1" applyFill="1" applyAlignment="1">
      <alignment horizontal="center"/>
    </xf>
    <xf numFmtId="171" fontId="62" fillId="0" borderId="0" xfId="1" quotePrefix="1" applyNumberFormat="1" applyFont="1" applyFill="1" applyAlignment="1">
      <alignment horizontal="center"/>
    </xf>
    <xf numFmtId="171" fontId="62" fillId="0" borderId="0" xfId="1" applyNumberFormat="1" applyFont="1" applyBorder="1" applyAlignment="1">
      <alignment horizontal="center"/>
    </xf>
    <xf numFmtId="171" fontId="63" fillId="0" borderId="1" xfId="1" applyNumberFormat="1" applyFont="1" applyBorder="1" applyAlignment="1">
      <alignment horizontal="left"/>
    </xf>
    <xf numFmtId="171" fontId="62" fillId="0" borderId="1" xfId="1" applyNumberFormat="1" applyFont="1" applyFill="1" applyBorder="1" applyAlignment="1">
      <alignment horizontal="left"/>
    </xf>
    <xf numFmtId="0" fontId="7" fillId="0" borderId="1" xfId="0" applyFont="1" applyFill="1" applyBorder="1"/>
    <xf numFmtId="0" fontId="3" fillId="0" borderId="1" xfId="0" applyFont="1" applyBorder="1" applyAlignment="1">
      <alignment horizontal="center"/>
    </xf>
    <xf numFmtId="0" fontId="72" fillId="0" borderId="0" xfId="3" applyFont="1" applyFill="1"/>
    <xf numFmtId="0" fontId="76" fillId="0" borderId="0" xfId="0" applyFont="1" applyBorder="1" applyAlignment="1">
      <alignment horizontal="center"/>
    </xf>
    <xf numFmtId="0" fontId="76" fillId="0" borderId="0" xfId="0" applyFont="1" applyBorder="1"/>
    <xf numFmtId="0" fontId="76" fillId="0" borderId="1" xfId="0" applyFont="1" applyBorder="1" applyAlignment="1">
      <alignment horizontal="left"/>
    </xf>
    <xf numFmtId="0" fontId="76" fillId="0" borderId="1" xfId="0" applyFont="1" applyBorder="1" applyAlignment="1">
      <alignment horizontal="center"/>
    </xf>
    <xf numFmtId="0" fontId="76" fillId="0" borderId="1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76" fillId="0" borderId="0" xfId="0" applyFont="1" applyBorder="1" applyAlignment="1">
      <alignment horizontal="left"/>
    </xf>
    <xf numFmtId="0" fontId="79" fillId="0" borderId="0" xfId="0" applyFont="1" applyBorder="1" applyAlignment="1">
      <alignment horizontal="center"/>
    </xf>
    <xf numFmtId="0" fontId="76" fillId="0" borderId="0" xfId="0" applyFont="1" applyBorder="1" applyAlignment="1"/>
    <xf numFmtId="0" fontId="77" fillId="0" borderId="0" xfId="0" applyFont="1" applyFill="1" applyBorder="1" applyAlignment="1">
      <alignment horizontal="centerContinuous"/>
    </xf>
    <xf numFmtId="0" fontId="76" fillId="0" borderId="0" xfId="0" applyFont="1" applyFill="1" applyBorder="1" applyAlignment="1">
      <alignment horizontal="centerContinuous"/>
    </xf>
    <xf numFmtId="0" fontId="76" fillId="0" borderId="0" xfId="0" applyFont="1" applyFill="1" applyBorder="1"/>
    <xf numFmtId="0" fontId="76" fillId="0" borderId="0" xfId="0" applyFont="1"/>
    <xf numFmtId="0" fontId="76" fillId="0" borderId="0" xfId="0" quotePrefix="1" applyFont="1" applyBorder="1" applyAlignment="1">
      <alignment horizontal="center"/>
    </xf>
    <xf numFmtId="174" fontId="76" fillId="0" borderId="0" xfId="1" applyNumberFormat="1" applyFont="1" applyFill="1"/>
    <xf numFmtId="174" fontId="76" fillId="0" borderId="0" xfId="1" applyNumberFormat="1" applyFont="1" applyFill="1" applyBorder="1"/>
    <xf numFmtId="0" fontId="76" fillId="0" borderId="0" xfId="0" applyFont="1" applyFill="1"/>
    <xf numFmtId="0" fontId="76" fillId="0" borderId="4" xfId="0" applyFont="1" applyFill="1" applyBorder="1"/>
    <xf numFmtId="0" fontId="76" fillId="0" borderId="4" xfId="0" applyFont="1" applyBorder="1"/>
    <xf numFmtId="174" fontId="76" fillId="0" borderId="4" xfId="1" applyNumberFormat="1" applyFont="1" applyFill="1" applyBorder="1"/>
    <xf numFmtId="0" fontId="76" fillId="0" borderId="2" xfId="0" applyFont="1" applyFill="1" applyBorder="1"/>
    <xf numFmtId="0" fontId="76" fillId="0" borderId="2" xfId="0" applyFont="1" applyBorder="1"/>
    <xf numFmtId="174" fontId="76" fillId="0" borderId="2" xfId="1" applyNumberFormat="1" applyFont="1" applyFill="1" applyBorder="1"/>
    <xf numFmtId="0" fontId="76" fillId="0" borderId="0" xfId="0" applyFont="1" applyAlignment="1">
      <alignment horizontal="left"/>
    </xf>
    <xf numFmtId="0" fontId="79" fillId="0" borderId="1" xfId="0" applyFont="1" applyFill="1" applyBorder="1"/>
    <xf numFmtId="0" fontId="79" fillId="0" borderId="3" xfId="0" applyFont="1" applyBorder="1"/>
    <xf numFmtId="0" fontId="79" fillId="0" borderId="0" xfId="0" applyFont="1" applyBorder="1"/>
    <xf numFmtId="174" fontId="79" fillId="0" borderId="3" xfId="1" applyNumberFormat="1" applyFont="1" applyFill="1" applyBorder="1"/>
    <xf numFmtId="174" fontId="79" fillId="0" borderId="0" xfId="1" applyNumberFormat="1" applyFont="1" applyFill="1" applyBorder="1"/>
    <xf numFmtId="174" fontId="77" fillId="0" borderId="0" xfId="1" applyNumberFormat="1" applyFont="1" applyFill="1"/>
    <xf numFmtId="0" fontId="76" fillId="0" borderId="0" xfId="0" applyFont="1" applyAlignment="1">
      <alignment horizontal="center"/>
    </xf>
    <xf numFmtId="0" fontId="76" fillId="0" borderId="0" xfId="0" quotePrefix="1" applyFont="1" applyAlignment="1">
      <alignment horizontal="center"/>
    </xf>
    <xf numFmtId="174" fontId="76" fillId="0" borderId="0" xfId="1" applyNumberFormat="1" applyFont="1" applyFill="1" applyAlignment="1">
      <alignment horizontal="left"/>
    </xf>
    <xf numFmtId="0" fontId="80" fillId="0" borderId="0" xfId="0" applyFont="1" applyFill="1" applyBorder="1"/>
    <xf numFmtId="177" fontId="71" fillId="0" borderId="0" xfId="3" applyNumberFormat="1" applyFont="1" applyFill="1" applyBorder="1"/>
    <xf numFmtId="0" fontId="67" fillId="0" borderId="0" xfId="0" applyFont="1" applyBorder="1" applyAlignment="1">
      <alignment horizontal="center"/>
    </xf>
    <xf numFmtId="0" fontId="67" fillId="0" borderId="0" xfId="0" applyFont="1" applyBorder="1"/>
    <xf numFmtId="0" fontId="67" fillId="0" borderId="0" xfId="0" applyFont="1" applyFill="1" applyBorder="1"/>
    <xf numFmtId="0" fontId="3" fillId="0" borderId="0" xfId="0" applyFont="1" applyBorder="1" applyAlignment="1"/>
    <xf numFmtId="0" fontId="11" fillId="0" borderId="0" xfId="0" applyFont="1" applyBorder="1" applyAlignment="1"/>
    <xf numFmtId="43" fontId="70" fillId="0" borderId="0" xfId="1" applyNumberFormat="1" applyFont="1" applyFill="1" applyBorder="1" applyAlignment="1"/>
    <xf numFmtId="0" fontId="63" fillId="0" borderId="1" xfId="3" applyFont="1" applyFill="1" applyBorder="1"/>
    <xf numFmtId="174" fontId="70" fillId="0" borderId="2" xfId="1" applyNumberFormat="1" applyFont="1" applyFill="1" applyBorder="1" applyAlignment="1"/>
    <xf numFmtId="174" fontId="62" fillId="21" borderId="0" xfId="1" applyNumberFormat="1" applyFont="1" applyFill="1"/>
    <xf numFmtId="0" fontId="70" fillId="21" borderId="0" xfId="3" applyFont="1" applyFill="1" applyBorder="1"/>
    <xf numFmtId="174" fontId="62" fillId="21" borderId="0" xfId="1" applyNumberFormat="1" applyFont="1" applyFill="1" applyBorder="1"/>
    <xf numFmtId="0" fontId="62" fillId="21" borderId="0" xfId="3" applyFont="1" applyFill="1" applyBorder="1"/>
    <xf numFmtId="174" fontId="63" fillId="21" borderId="4" xfId="1" applyNumberFormat="1" applyFont="1" applyFill="1" applyBorder="1"/>
    <xf numFmtId="174" fontId="62" fillId="21" borderId="0" xfId="1" applyNumberFormat="1" applyFont="1" applyFill="1" applyAlignment="1"/>
    <xf numFmtId="174" fontId="63" fillId="0" borderId="3" xfId="303" applyNumberFormat="1" applyFont="1" applyFill="1" applyBorder="1"/>
    <xf numFmtId="174" fontId="62" fillId="0" borderId="4" xfId="303" applyNumberFormat="1" applyFont="1" applyFill="1" applyBorder="1"/>
    <xf numFmtId="174" fontId="62" fillId="21" borderId="0" xfId="303" applyNumberFormat="1" applyFont="1" applyFill="1"/>
    <xf numFmtId="174" fontId="62" fillId="0" borderId="0" xfId="303" applyNumberFormat="1" applyFont="1" applyFill="1"/>
    <xf numFmtId="174" fontId="69" fillId="0" borderId="0" xfId="303" applyNumberFormat="1" applyFont="1" applyFill="1" applyBorder="1"/>
    <xf numFmtId="174" fontId="62" fillId="0" borderId="0" xfId="303" applyNumberFormat="1" applyFont="1" applyFill="1" applyBorder="1"/>
    <xf numFmtId="43" fontId="62" fillId="21" borderId="0" xfId="1" applyNumberFormat="1" applyFont="1" applyFill="1" applyAlignment="1"/>
    <xf numFmtId="174" fontId="62" fillId="21" borderId="0" xfId="121" applyNumberFormat="1" applyFont="1" applyFill="1"/>
    <xf numFmtId="174" fontId="70" fillId="21" borderId="0" xfId="1" applyNumberFormat="1" applyFont="1" applyFill="1" applyBorder="1" applyAlignment="1"/>
    <xf numFmtId="44" fontId="62" fillId="21" borderId="0" xfId="2" applyNumberFormat="1" applyFont="1" applyFill="1" applyBorder="1"/>
    <xf numFmtId="171" fontId="63" fillId="21" borderId="0" xfId="1" applyNumberFormat="1" applyFont="1" applyFill="1" applyBorder="1" applyAlignment="1">
      <alignment horizontal="left"/>
    </xf>
    <xf numFmtId="174" fontId="62" fillId="21" borderId="2" xfId="1" applyNumberFormat="1" applyFont="1" applyFill="1" applyBorder="1" applyAlignment="1"/>
    <xf numFmtId="170" fontId="63" fillId="21" borderId="0" xfId="3" applyNumberFormat="1" applyFont="1" applyFill="1"/>
    <xf numFmtId="0" fontId="63" fillId="21" borderId="0" xfId="3" applyFont="1" applyFill="1"/>
    <xf numFmtId="171" fontId="62" fillId="21" borderId="0" xfId="3" applyNumberFormat="1" applyFont="1" applyFill="1" applyBorder="1"/>
    <xf numFmtId="41" fontId="71" fillId="21" borderId="0" xfId="3" applyNumberFormat="1" applyFont="1" applyFill="1" applyBorder="1"/>
    <xf numFmtId="0" fontId="77" fillId="21" borderId="0" xfId="3" applyFont="1" applyFill="1" applyBorder="1"/>
    <xf numFmtId="0" fontId="76" fillId="21" borderId="0" xfId="3" applyFont="1" applyFill="1" applyBorder="1"/>
    <xf numFmtId="0" fontId="67" fillId="21" borderId="1" xfId="0" applyFont="1" applyFill="1" applyBorder="1"/>
    <xf numFmtId="0" fontId="67" fillId="21" borderId="0" xfId="0" applyFont="1" applyFill="1" applyBorder="1"/>
    <xf numFmtId="0" fontId="62" fillId="21" borderId="1" xfId="3" applyFont="1" applyFill="1" applyBorder="1"/>
    <xf numFmtId="164" fontId="62" fillId="21" borderId="0" xfId="3" applyNumberFormat="1" applyFont="1" applyFill="1" applyBorder="1" applyAlignment="1">
      <alignment horizontal="center"/>
    </xf>
    <xf numFmtId="0" fontId="62" fillId="21" borderId="0" xfId="3" applyNumberFormat="1" applyFont="1" applyFill="1" applyBorder="1" applyAlignment="1">
      <alignment horizontal="center"/>
    </xf>
    <xf numFmtId="0" fontId="65" fillId="21" borderId="0" xfId="3" applyFont="1" applyFill="1" applyBorder="1" applyAlignment="1"/>
    <xf numFmtId="174" fontId="62" fillId="21" borderId="0" xfId="1" applyNumberFormat="1" applyFont="1" applyFill="1" applyBorder="1" applyAlignment="1"/>
    <xf numFmtId="43" fontId="62" fillId="21" borderId="0" xfId="1" applyNumberFormat="1" applyFont="1" applyFill="1" applyBorder="1" applyAlignment="1"/>
    <xf numFmtId="41" fontId="62" fillId="21" borderId="0" xfId="0" applyNumberFormat="1" applyFont="1" applyFill="1" applyBorder="1"/>
    <xf numFmtId="0" fontId="3" fillId="21" borderId="0" xfId="3" applyFont="1" applyFill="1"/>
    <xf numFmtId="0" fontId="70" fillId="0" borderId="0" xfId="3" applyFont="1" applyFill="1" applyBorder="1" applyAlignment="1"/>
    <xf numFmtId="43" fontId="16" fillId="0" borderId="0" xfId="1" applyFont="1" applyFill="1" applyBorder="1"/>
    <xf numFmtId="164" fontId="62" fillId="0" borderId="2" xfId="3" applyNumberFormat="1" applyFont="1" applyFill="1" applyBorder="1" applyAlignment="1">
      <alignment horizontal="center"/>
    </xf>
    <xf numFmtId="164" fontId="62" fillId="0" borderId="0" xfId="3" applyNumberFormat="1" applyFont="1" applyBorder="1" applyAlignment="1">
      <alignment horizontal="center"/>
    </xf>
    <xf numFmtId="43" fontId="62" fillId="0" borderId="0" xfId="1" applyNumberFormat="1" applyFont="1" applyFill="1" applyAlignment="1"/>
    <xf numFmtId="0" fontId="76" fillId="0" borderId="6" xfId="0" applyFont="1" applyBorder="1" applyAlignment="1"/>
    <xf numFmtId="43" fontId="62" fillId="0" borderId="0" xfId="1" applyNumberFormat="1" applyFont="1" applyFill="1"/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 indent="1"/>
    </xf>
    <xf numFmtId="0" fontId="64" fillId="0" borderId="0" xfId="3" applyFont="1" applyAlignment="1">
      <alignment horizontal="left"/>
    </xf>
    <xf numFmtId="0" fontId="62" fillId="0" borderId="4" xfId="3" applyFont="1" applyFill="1" applyBorder="1" applyAlignment="1">
      <alignment horizontal="center"/>
    </xf>
    <xf numFmtId="174" fontId="11" fillId="0" borderId="0" xfId="1" applyNumberFormat="1" applyFont="1" applyFill="1" applyBorder="1"/>
    <xf numFmtId="174" fontId="11" fillId="0" borderId="0" xfId="1" applyNumberFormat="1" applyFont="1" applyFill="1"/>
    <xf numFmtId="0" fontId="22" fillId="0" borderId="0" xfId="3" quotePrefix="1" applyFont="1" applyFill="1"/>
    <xf numFmtId="174" fontId="62" fillId="0" borderId="2" xfId="303" applyNumberFormat="1" applyFont="1" applyFill="1" applyBorder="1"/>
    <xf numFmtId="0" fontId="67" fillId="0" borderId="0" xfId="0" applyFont="1" applyFill="1" applyBorder="1" applyAlignment="1">
      <alignment horizontal="center"/>
    </xf>
    <xf numFmtId="0" fontId="73" fillId="0" borderId="0" xfId="0" applyFont="1" applyFill="1" applyAlignment="1">
      <alignment horizontal="left"/>
    </xf>
    <xf numFmtId="0" fontId="67" fillId="0" borderId="0" xfId="0" applyFont="1" applyFill="1" applyAlignment="1">
      <alignment horizontal="left"/>
    </xf>
    <xf numFmtId="0" fontId="66" fillId="0" borderId="0" xfId="0" applyFont="1" applyFill="1" applyAlignment="1">
      <alignment horizontal="left"/>
    </xf>
    <xf numFmtId="164" fontId="62" fillId="0" borderId="0" xfId="3" applyNumberFormat="1" applyFont="1" applyFill="1" applyBorder="1" applyAlignment="1">
      <alignment horizontal="center"/>
    </xf>
    <xf numFmtId="0" fontId="63" fillId="0" borderId="2" xfId="3" applyFont="1" applyFill="1" applyBorder="1"/>
    <xf numFmtId="0" fontId="74" fillId="0" borderId="0" xfId="3" applyFont="1" applyFill="1" applyBorder="1"/>
    <xf numFmtId="0" fontId="62" fillId="0" borderId="4" xfId="3" applyFont="1" applyFill="1" applyBorder="1"/>
    <xf numFmtId="164" fontId="62" fillId="0" borderId="2" xfId="3" applyNumberFormat="1" applyFont="1" applyFill="1" applyBorder="1" applyAlignment="1"/>
    <xf numFmtId="0" fontId="75" fillId="0" borderId="0" xfId="0" applyFont="1" applyFill="1"/>
    <xf numFmtId="164" fontId="62" fillId="0" borderId="0" xfId="3" applyNumberFormat="1" applyFont="1" applyFill="1" applyBorder="1" applyAlignment="1"/>
    <xf numFmtId="0" fontId="17" fillId="0" borderId="0" xfId="3" applyFont="1" applyFill="1"/>
    <xf numFmtId="0" fontId="71" fillId="0" borderId="0" xfId="3" applyFont="1" applyFill="1"/>
    <xf numFmtId="0" fontId="66" fillId="0" borderId="0" xfId="3" applyFont="1" applyFill="1"/>
    <xf numFmtId="0" fontId="62" fillId="0" borderId="0" xfId="3" applyNumberFormat="1" applyFont="1" applyFill="1" applyBorder="1" applyAlignment="1">
      <alignment horizontal="center"/>
    </xf>
    <xf numFmtId="0" fontId="12" fillId="0" borderId="0" xfId="3" applyFont="1" applyFill="1"/>
    <xf numFmtId="0" fontId="4" fillId="0" borderId="0" xfId="3" applyFont="1" applyFill="1"/>
    <xf numFmtId="0" fontId="3" fillId="0" borderId="1" xfId="3" applyFont="1" applyFill="1" applyBorder="1"/>
    <xf numFmtId="41" fontId="65" fillId="0" borderId="0" xfId="3" applyNumberFormat="1" applyFont="1" applyFill="1" applyAlignment="1"/>
    <xf numFmtId="0" fontId="9" fillId="0" borderId="0" xfId="3" applyFont="1" applyFill="1" applyAlignment="1">
      <alignment horizontal="left"/>
    </xf>
    <xf numFmtId="0" fontId="71" fillId="0" borderId="0" xfId="3" applyFont="1" applyFill="1" applyBorder="1"/>
    <xf numFmtId="0" fontId="11" fillId="0" borderId="0" xfId="3" applyFont="1" applyFill="1"/>
    <xf numFmtId="0" fontId="81" fillId="0" borderId="0" xfId="3" quotePrefix="1" applyFont="1" applyFill="1"/>
    <xf numFmtId="41" fontId="8" fillId="0" borderId="0" xfId="3" applyNumberFormat="1" applyFont="1" applyFill="1"/>
    <xf numFmtId="171" fontId="4" fillId="0" borderId="0" xfId="3" applyNumberFormat="1" applyFont="1" applyFill="1"/>
    <xf numFmtId="43" fontId="62" fillId="0" borderId="0" xfId="1" applyFont="1" applyFill="1" applyBorder="1"/>
    <xf numFmtId="171" fontId="71" fillId="0" borderId="0" xfId="3" applyNumberFormat="1" applyFont="1" applyFill="1"/>
    <xf numFmtId="0" fontId="72" fillId="0" borderId="0" xfId="3" applyFont="1" applyFill="1" applyAlignment="1">
      <alignment wrapText="1"/>
    </xf>
    <xf numFmtId="0" fontId="2" fillId="0" borderId="0" xfId="3" applyFill="1" applyBorder="1"/>
    <xf numFmtId="174" fontId="0" fillId="0" borderId="0" xfId="1" applyNumberFormat="1" applyFont="1"/>
    <xf numFmtId="174" fontId="82" fillId="0" borderId="0" xfId="1" applyNumberFormat="1" applyFont="1" applyBorder="1"/>
    <xf numFmtId="0" fontId="3" fillId="0" borderId="4" xfId="3" applyFont="1" applyBorder="1"/>
    <xf numFmtId="174" fontId="82" fillId="0" borderId="4" xfId="1" applyNumberFormat="1" applyFont="1" applyBorder="1"/>
    <xf numFmtId="174" fontId="83" fillId="0" borderId="0" xfId="1" applyNumberFormat="1" applyFont="1"/>
    <xf numFmtId="174" fontId="83" fillId="0" borderId="0" xfId="1" applyNumberFormat="1" applyFont="1" applyFill="1"/>
    <xf numFmtId="174" fontId="83" fillId="0" borderId="0" xfId="1" applyNumberFormat="1" applyFont="1" applyBorder="1"/>
    <xf numFmtId="174" fontId="84" fillId="0" borderId="4" xfId="1" applyNumberFormat="1" applyFont="1" applyFill="1" applyBorder="1"/>
    <xf numFmtId="0" fontId="84" fillId="0" borderId="0" xfId="3" applyFont="1" applyFill="1"/>
    <xf numFmtId="174" fontId="84" fillId="0" borderId="0" xfId="1" applyNumberFormat="1" applyFont="1"/>
    <xf numFmtId="174" fontId="84" fillId="0" borderId="0" xfId="1" applyNumberFormat="1" applyFont="1" applyFill="1"/>
    <xf numFmtId="164" fontId="62" fillId="0" borderId="5" xfId="3" applyNumberFormat="1" applyFont="1" applyFill="1" applyBorder="1" applyAlignment="1">
      <alignment horizontal="center"/>
    </xf>
    <xf numFmtId="164" fontId="62" fillId="0" borderId="2" xfId="3" applyNumberFormat="1" applyFont="1" applyFill="1" applyBorder="1" applyAlignment="1">
      <alignment horizontal="center"/>
    </xf>
    <xf numFmtId="174" fontId="62" fillId="0" borderId="0" xfId="1" applyNumberFormat="1" applyFont="1" applyFill="1" applyBorder="1" applyAlignment="1"/>
    <xf numFmtId="0" fontId="74" fillId="0" borderId="2" xfId="3" applyFont="1" applyFill="1" applyBorder="1"/>
    <xf numFmtId="174" fontId="63" fillId="0" borderId="2" xfId="1" applyNumberFormat="1" applyFont="1" applyFill="1" applyBorder="1" applyAlignment="1"/>
    <xf numFmtId="174" fontId="74" fillId="0" borderId="0" xfId="1" applyNumberFormat="1" applyFont="1" applyFill="1" applyBorder="1" applyAlignment="1"/>
    <xf numFmtId="43" fontId="63" fillId="0" borderId="0" xfId="1" applyFont="1" applyFill="1" applyBorder="1"/>
    <xf numFmtId="173" fontId="70" fillId="0" borderId="0" xfId="3" applyNumberFormat="1" applyFont="1" applyFill="1" applyBorder="1"/>
    <xf numFmtId="164" fontId="62" fillId="0" borderId="1" xfId="3" applyNumberFormat="1" applyFont="1" applyFill="1" applyBorder="1"/>
    <xf numFmtId="9" fontId="62" fillId="0" borderId="0" xfId="1" applyNumberFormat="1" applyFont="1" applyFill="1" applyAlignment="1"/>
    <xf numFmtId="9" fontId="65" fillId="0" borderId="0" xfId="3" applyNumberFormat="1" applyFont="1" applyFill="1" applyBorder="1" applyAlignment="1"/>
    <xf numFmtId="9" fontId="62" fillId="0" borderId="0" xfId="3" applyNumberFormat="1" applyFont="1" applyFill="1" applyBorder="1" applyAlignment="1"/>
    <xf numFmtId="9" fontId="70" fillId="0" borderId="0" xfId="1" applyNumberFormat="1" applyFont="1" applyFill="1" applyAlignment="1"/>
    <xf numFmtId="9" fontId="62" fillId="0" borderId="0" xfId="1" applyNumberFormat="1" applyFont="1" applyFill="1" applyBorder="1" applyAlignment="1"/>
    <xf numFmtId="9" fontId="70" fillId="0" borderId="0" xfId="1" applyNumberFormat="1" applyFont="1" applyFill="1" applyBorder="1" applyAlignment="1"/>
    <xf numFmtId="9" fontId="62" fillId="0" borderId="2" xfId="1" applyNumberFormat="1" applyFont="1" applyFill="1" applyBorder="1" applyAlignment="1"/>
    <xf numFmtId="0" fontId="62" fillId="0" borderId="15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/>
    </xf>
    <xf numFmtId="0" fontId="65" fillId="0" borderId="2" xfId="0" applyFont="1" applyFill="1" applyBorder="1" applyAlignment="1"/>
    <xf numFmtId="0" fontId="62" fillId="0" borderId="2" xfId="0" applyFont="1" applyFill="1" applyBorder="1" applyAlignment="1">
      <alignment horizontal="center"/>
    </xf>
    <xf numFmtId="0" fontId="62" fillId="0" borderId="0" xfId="0" applyFont="1" applyFill="1" applyBorder="1" applyAlignment="1"/>
    <xf numFmtId="0" fontId="71" fillId="0" borderId="0" xfId="0" applyFont="1" applyFill="1" applyBorder="1" applyAlignment="1">
      <alignment horizontal="center"/>
    </xf>
    <xf numFmtId="171" fontId="62" fillId="0" borderId="2" xfId="1" applyNumberFormat="1" applyFont="1" applyFill="1" applyBorder="1" applyAlignment="1">
      <alignment horizontal="left"/>
    </xf>
    <xf numFmtId="171" fontId="62" fillId="0" borderId="2" xfId="1" quotePrefix="1" applyNumberFormat="1" applyFont="1" applyFill="1" applyBorder="1" applyAlignment="1">
      <alignment horizontal="center"/>
    </xf>
    <xf numFmtId="171" fontId="63" fillId="0" borderId="0" xfId="1" applyNumberFormat="1" applyFont="1" applyFill="1" applyBorder="1" applyAlignment="1">
      <alignment horizontal="center"/>
    </xf>
    <xf numFmtId="174" fontId="63" fillId="0" borderId="15" xfId="1" applyNumberFormat="1" applyFont="1" applyFill="1" applyBorder="1"/>
    <xf numFmtId="170" fontId="74" fillId="0" borderId="0" xfId="3" applyNumberFormat="1" applyFont="1" applyFill="1" applyBorder="1"/>
    <xf numFmtId="164" fontId="62" fillId="0" borderId="0" xfId="3" applyNumberFormat="1" applyFont="1" applyFill="1"/>
    <xf numFmtId="0" fontId="62" fillId="0" borderId="0" xfId="0" applyFont="1" applyFill="1"/>
    <xf numFmtId="0" fontId="61" fillId="0" borderId="0" xfId="0" applyFont="1" applyFill="1" applyBorder="1" applyAlignment="1">
      <alignment horizontal="left" vertical="center"/>
    </xf>
    <xf numFmtId="0" fontId="61" fillId="0" borderId="4" xfId="0" applyFont="1" applyFill="1" applyBorder="1" applyAlignment="1">
      <alignment horizontal="left" vertical="center"/>
    </xf>
    <xf numFmtId="164" fontId="62" fillId="0" borderId="5" xfId="3" applyNumberFormat="1" applyFont="1" applyFill="1" applyBorder="1" applyAlignment="1"/>
    <xf numFmtId="174" fontId="63" fillId="0" borderId="0" xfId="1" applyNumberFormat="1" applyFont="1" applyFill="1" applyBorder="1" applyAlignment="1"/>
    <xf numFmtId="170" fontId="70" fillId="0" borderId="0" xfId="3" applyNumberFormat="1" applyFont="1" applyFill="1"/>
    <xf numFmtId="164" fontId="62" fillId="0" borderId="5" xfId="3" applyNumberFormat="1" applyFont="1" applyFill="1" applyBorder="1" applyAlignment="1">
      <alignment horizontal="center"/>
    </xf>
    <xf numFmtId="164" fontId="62" fillId="0" borderId="2" xfId="3" applyNumberFormat="1" applyFont="1" applyFill="1" applyBorder="1" applyAlignment="1">
      <alignment horizontal="center"/>
    </xf>
    <xf numFmtId="2" fontId="83" fillId="0" borderId="0" xfId="0" applyNumberFormat="1" applyFont="1" applyBorder="1" applyAlignment="1">
      <alignment horizontal="left"/>
    </xf>
    <xf numFmtId="41" fontId="83" fillId="0" borderId="0" xfId="0" applyNumberFormat="1" applyFont="1" applyFill="1" applyBorder="1"/>
    <xf numFmtId="41" fontId="83" fillId="21" borderId="0" xfId="0" applyNumberFormat="1" applyFont="1" applyFill="1" applyBorder="1"/>
    <xf numFmtId="0" fontId="83" fillId="0" borderId="0" xfId="3" applyFont="1"/>
    <xf numFmtId="0" fontId="83" fillId="0" borderId="0" xfId="3" applyFont="1" applyFill="1"/>
    <xf numFmtId="0" fontId="83" fillId="21" borderId="0" xfId="3" applyFont="1" applyFill="1"/>
    <xf numFmtId="0" fontId="75" fillId="0" borderId="1" xfId="0" applyFont="1" applyFill="1" applyBorder="1"/>
    <xf numFmtId="164" fontId="62" fillId="0" borderId="0" xfId="3" applyNumberFormat="1" applyFont="1" applyFill="1" applyBorder="1" applyAlignment="1">
      <alignment horizontal="center"/>
    </xf>
    <xf numFmtId="0" fontId="62" fillId="0" borderId="5" xfId="3" applyFont="1" applyBorder="1" applyAlignment="1"/>
    <xf numFmtId="16" fontId="62" fillId="0" borderId="2" xfId="0" quotePrefix="1" applyNumberFormat="1" applyFont="1" applyBorder="1" applyAlignment="1"/>
    <xf numFmtId="164" fontId="62" fillId="0" borderId="0" xfId="3" applyNumberFormat="1" applyFont="1" applyFill="1" applyBorder="1" applyAlignment="1">
      <alignment horizontal="center"/>
    </xf>
    <xf numFmtId="164" fontId="62" fillId="0" borderId="5" xfId="3" applyNumberFormat="1" applyFont="1" applyFill="1" applyBorder="1" applyAlignment="1">
      <alignment horizontal="center"/>
    </xf>
    <xf numFmtId="164" fontId="62" fillId="0" borderId="2" xfId="3" applyNumberFormat="1" applyFont="1" applyFill="1" applyBorder="1" applyAlignment="1">
      <alignment horizontal="center"/>
    </xf>
    <xf numFmtId="164" fontId="62" fillId="0" borderId="0" xfId="3" applyNumberFormat="1" applyFont="1" applyFill="1" applyBorder="1" applyAlignment="1">
      <alignment horizontal="center"/>
    </xf>
    <xf numFmtId="164" fontId="62" fillId="0" borderId="5" xfId="3" applyNumberFormat="1" applyFont="1" applyFill="1" applyBorder="1" applyAlignment="1">
      <alignment horizontal="center"/>
    </xf>
    <xf numFmtId="164" fontId="62" fillId="0" borderId="0" xfId="3" applyNumberFormat="1" applyFont="1" applyFill="1" applyBorder="1" applyAlignment="1">
      <alignment horizontal="center"/>
    </xf>
    <xf numFmtId="0" fontId="3" fillId="0" borderId="1" xfId="3" applyFont="1" applyBorder="1"/>
    <xf numFmtId="164" fontId="62" fillId="0" borderId="0" xfId="3" applyNumberFormat="1" applyFont="1" applyFill="1" applyBorder="1" applyAlignment="1">
      <alignment horizontal="center"/>
    </xf>
    <xf numFmtId="164" fontId="62" fillId="0" borderId="5" xfId="3" applyNumberFormat="1" applyFont="1" applyFill="1" applyBorder="1" applyAlignment="1">
      <alignment horizontal="center"/>
    </xf>
    <xf numFmtId="174" fontId="62" fillId="0" borderId="0" xfId="393" quotePrefix="1" applyNumberFormat="1" applyFont="1" applyFill="1"/>
    <xf numFmtId="174" fontId="63" fillId="0" borderId="0" xfId="393" applyNumberFormat="1" applyFont="1" applyFill="1" applyBorder="1"/>
    <xf numFmtId="174" fontId="4" fillId="0" borderId="0" xfId="393" applyNumberFormat="1" applyFont="1" applyFill="1" applyBorder="1"/>
    <xf numFmtId="164" fontId="62" fillId="0" borderId="2" xfId="3" applyNumberFormat="1" applyFont="1" applyFill="1" applyBorder="1" applyAlignment="1">
      <alignment horizontal="center"/>
    </xf>
    <xf numFmtId="164" fontId="62" fillId="0" borderId="5" xfId="3" applyNumberFormat="1" applyFont="1" applyFill="1" applyBorder="1" applyAlignment="1">
      <alignment horizontal="center"/>
    </xf>
    <xf numFmtId="164" fontId="62" fillId="0" borderId="5" xfId="3" applyNumberFormat="1" applyFont="1" applyBorder="1" applyAlignment="1">
      <alignment horizontal="center"/>
    </xf>
    <xf numFmtId="164" fontId="62" fillId="0" borderId="6" xfId="3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4" xfId="0" applyFill="1" applyBorder="1"/>
    <xf numFmtId="0" fontId="17" fillId="0" borderId="3" xfId="0" applyFont="1" applyBorder="1"/>
    <xf numFmtId="0" fontId="21" fillId="0" borderId="3" xfId="0" applyFont="1" applyFill="1" applyBorder="1"/>
    <xf numFmtId="0" fontId="0" fillId="0" borderId="2" xfId="0" applyFill="1" applyBorder="1"/>
    <xf numFmtId="0" fontId="0" fillId="0" borderId="4" xfId="0" applyBorder="1"/>
    <xf numFmtId="164" fontId="62" fillId="0" borderId="2" xfId="3" applyNumberFormat="1" applyFont="1" applyBorder="1" applyAlignment="1"/>
    <xf numFmtId="0" fontId="62" fillId="0" borderId="2" xfId="3" applyFont="1" applyBorder="1" applyAlignment="1">
      <alignment horizontal="center"/>
    </xf>
    <xf numFmtId="171" fontId="4" fillId="0" borderId="0" xfId="3" applyNumberFormat="1" applyFont="1" applyFill="1" applyBorder="1"/>
    <xf numFmtId="0" fontId="67" fillId="0" borderId="0" xfId="0" applyFont="1" applyAlignment="1">
      <alignment horizontal="center"/>
    </xf>
    <xf numFmtId="0" fontId="62" fillId="0" borderId="2" xfId="3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2" fillId="0" borderId="2" xfId="3" applyFont="1" applyFill="1" applyBorder="1" applyAlignment="1">
      <alignment horizontal="center"/>
    </xf>
    <xf numFmtId="0" fontId="63" fillId="0" borderId="2" xfId="3" applyFont="1" applyBorder="1" applyAlignment="1">
      <alignment horizontal="center"/>
    </xf>
    <xf numFmtId="16" fontId="62" fillId="0" borderId="0" xfId="0" quotePrefix="1" applyNumberFormat="1" applyFont="1" applyBorder="1" applyAlignment="1"/>
    <xf numFmtId="0" fontId="62" fillId="0" borderId="4" xfId="0" applyFont="1" applyFill="1" applyBorder="1" applyAlignment="1">
      <alignment horizontal="center"/>
    </xf>
    <xf numFmtId="0" fontId="62" fillId="0" borderId="2" xfId="3" applyNumberFormat="1" applyFont="1" applyFill="1" applyBorder="1" applyAlignment="1"/>
    <xf numFmtId="0" fontId="62" fillId="0" borderId="0" xfId="3" applyNumberFormat="1" applyFont="1" applyFill="1" applyBorder="1" applyAlignment="1"/>
    <xf numFmtId="0" fontId="2" fillId="0" borderId="2" xfId="3" applyFont="1" applyFill="1" applyBorder="1"/>
    <xf numFmtId="174" fontId="63" fillId="0" borderId="4" xfId="1" applyNumberFormat="1" applyFont="1" applyFill="1" applyBorder="1" applyAlignment="1"/>
    <xf numFmtId="174" fontId="62" fillId="0" borderId="0" xfId="3" applyNumberFormat="1" applyFont="1" applyFill="1" applyBorder="1"/>
    <xf numFmtId="178" fontId="62" fillId="0" borderId="0" xfId="3" applyNumberFormat="1" applyFont="1" applyFill="1" applyBorder="1"/>
    <xf numFmtId="174" fontId="62" fillId="0" borderId="2" xfId="3" applyNumberFormat="1" applyFont="1" applyFill="1" applyBorder="1"/>
    <xf numFmtId="174" fontId="62" fillId="21" borderId="0" xfId="3" applyNumberFormat="1" applyFont="1" applyFill="1" applyBorder="1"/>
    <xf numFmtId="43" fontId="62" fillId="0" borderId="0" xfId="3" applyNumberFormat="1" applyFont="1" applyFill="1" applyBorder="1"/>
    <xf numFmtId="174" fontId="62" fillId="21" borderId="0" xfId="3" applyNumberFormat="1" applyFont="1" applyFill="1"/>
    <xf numFmtId="178" fontId="62" fillId="21" borderId="0" xfId="3" applyNumberFormat="1" applyFont="1" applyFill="1"/>
    <xf numFmtId="178" fontId="76" fillId="21" borderId="0" xfId="3" applyNumberFormat="1" applyFont="1" applyFill="1" applyBorder="1"/>
    <xf numFmtId="9" fontId="62" fillId="0" borderId="2" xfId="3" applyNumberFormat="1" applyFont="1" applyFill="1" applyBorder="1" applyAlignment="1"/>
    <xf numFmtId="178" fontId="62" fillId="0" borderId="0" xfId="3" applyNumberFormat="1" applyFont="1" applyFill="1"/>
    <xf numFmtId="0" fontId="62" fillId="0" borderId="5" xfId="3" applyFont="1" applyBorder="1" applyAlignment="1">
      <alignment horizontal="center"/>
    </xf>
    <xf numFmtId="16" fontId="62" fillId="0" borderId="2" xfId="0" quotePrefix="1" applyNumberFormat="1" applyFont="1" applyBorder="1" applyAlignment="1">
      <alignment horizontal="center"/>
    </xf>
    <xf numFmtId="0" fontId="62" fillId="0" borderId="2" xfId="3" applyFont="1" applyFill="1" applyBorder="1" applyAlignment="1">
      <alignment horizontal="center"/>
    </xf>
    <xf numFmtId="164" fontId="62" fillId="0" borderId="5" xfId="3" applyNumberFormat="1" applyFont="1" applyFill="1" applyBorder="1" applyAlignment="1">
      <alignment horizontal="center"/>
    </xf>
    <xf numFmtId="164" fontId="62" fillId="0" borderId="2" xfId="3" applyNumberFormat="1" applyFont="1" applyFill="1" applyBorder="1" applyAlignment="1">
      <alignment horizontal="center"/>
    </xf>
    <xf numFmtId="0" fontId="62" fillId="0" borderId="5" xfId="3" applyFont="1" applyBorder="1" applyAlignment="1">
      <alignment horizontal="right"/>
    </xf>
    <xf numFmtId="16" fontId="62" fillId="0" borderId="2" xfId="0" quotePrefix="1" applyNumberFormat="1" applyFont="1" applyBorder="1" applyAlignment="1">
      <alignment horizontal="right"/>
    </xf>
    <xf numFmtId="43" fontId="2" fillId="0" borderId="0" xfId="3" applyNumberFormat="1"/>
    <xf numFmtId="179" fontId="3" fillId="0" borderId="0" xfId="3" applyNumberFormat="1" applyFont="1"/>
    <xf numFmtId="0" fontId="62" fillId="0" borderId="2" xfId="3" applyFont="1" applyBorder="1" applyAlignment="1">
      <alignment horizontal="center"/>
    </xf>
    <xf numFmtId="43" fontId="3" fillId="0" borderId="0" xfId="1" applyNumberFormat="1" applyFont="1" applyFill="1" applyBorder="1"/>
    <xf numFmtId="43" fontId="3" fillId="0" borderId="0" xfId="1" applyNumberFormat="1" applyFont="1" applyFill="1"/>
    <xf numFmtId="43" fontId="11" fillId="0" borderId="0" xfId="1" applyNumberFormat="1" applyFont="1" applyFill="1"/>
    <xf numFmtId="43" fontId="4" fillId="0" borderId="0" xfId="1" applyNumberFormat="1" applyFont="1" applyFill="1" applyBorder="1"/>
    <xf numFmtId="0" fontId="62" fillId="0" borderId="2" xfId="3" applyFont="1" applyFill="1" applyBorder="1" applyAlignment="1">
      <alignment horizontal="center"/>
    </xf>
    <xf numFmtId="171" fontId="62" fillId="21" borderId="0" xfId="1" applyNumberFormat="1" applyFont="1" applyFill="1" applyBorder="1" applyAlignment="1">
      <alignment horizontal="left"/>
    </xf>
    <xf numFmtId="174" fontId="83" fillId="21" borderId="0" xfId="1" applyNumberFormat="1" applyFont="1" applyFill="1"/>
    <xf numFmtId="174" fontId="83" fillId="21" borderId="0" xfId="1" applyNumberFormat="1" applyFont="1" applyFill="1" applyBorder="1"/>
    <xf numFmtId="174" fontId="84" fillId="21" borderId="4" xfId="1" applyNumberFormat="1" applyFont="1" applyFill="1" applyBorder="1"/>
    <xf numFmtId="170" fontId="84" fillId="21" borderId="0" xfId="3" applyNumberFormat="1" applyFont="1" applyFill="1"/>
    <xf numFmtId="0" fontId="84" fillId="21" borderId="0" xfId="3" applyFont="1" applyFill="1"/>
    <xf numFmtId="0" fontId="3" fillId="21" borderId="1" xfId="3" applyFont="1" applyFill="1" applyBorder="1"/>
    <xf numFmtId="0" fontId="62" fillId="21" borderId="2" xfId="3" quotePrefix="1" applyNumberFormat="1" applyFont="1" applyFill="1" applyBorder="1" applyAlignment="1">
      <alignment horizontal="center"/>
    </xf>
    <xf numFmtId="0" fontId="62" fillId="21" borderId="0" xfId="3" applyNumberFormat="1" applyFont="1" applyFill="1" applyAlignment="1">
      <alignment horizontal="center"/>
    </xf>
    <xf numFmtId="0" fontId="62" fillId="21" borderId="2" xfId="3" applyNumberFormat="1" applyFont="1" applyFill="1" applyBorder="1" applyAlignment="1">
      <alignment horizontal="center"/>
    </xf>
    <xf numFmtId="0" fontId="62" fillId="21" borderId="4" xfId="3" applyFont="1" applyFill="1" applyBorder="1" applyAlignment="1">
      <alignment horizontal="center"/>
    </xf>
    <xf numFmtId="174" fontId="84" fillId="21" borderId="0" xfId="1" applyNumberFormat="1" applyFont="1" applyFill="1"/>
    <xf numFmtId="0" fontId="67" fillId="0" borderId="0" xfId="0" applyFont="1" applyAlignment="1">
      <alignment horizontal="center"/>
    </xf>
    <xf numFmtId="0" fontId="62" fillId="0" borderId="5" xfId="3" applyFont="1" applyBorder="1" applyAlignment="1">
      <alignment horizontal="center"/>
    </xf>
    <xf numFmtId="16" fontId="62" fillId="0" borderId="2" xfId="0" quotePrefix="1" applyNumberFormat="1" applyFont="1" applyBorder="1" applyAlignment="1">
      <alignment horizontal="center"/>
    </xf>
    <xf numFmtId="0" fontId="62" fillId="0" borderId="5" xfId="3" applyFont="1" applyBorder="1" applyAlignment="1">
      <alignment horizontal="center" wrapText="1"/>
    </xf>
    <xf numFmtId="0" fontId="62" fillId="0" borderId="2" xfId="3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76" fillId="0" borderId="6" xfId="0" applyFont="1" applyBorder="1" applyAlignment="1">
      <alignment horizontal="center"/>
    </xf>
    <xf numFmtId="0" fontId="62" fillId="0" borderId="3" xfId="3" applyFont="1" applyBorder="1" applyAlignment="1">
      <alignment horizontal="center"/>
    </xf>
    <xf numFmtId="0" fontId="62" fillId="0" borderId="2" xfId="3" applyFont="1" applyFill="1" applyBorder="1" applyAlignment="1">
      <alignment horizontal="center"/>
    </xf>
    <xf numFmtId="164" fontId="62" fillId="21" borderId="2" xfId="3" applyNumberFormat="1" applyFont="1" applyFill="1" applyBorder="1" applyAlignment="1">
      <alignment horizontal="center"/>
    </xf>
    <xf numFmtId="164" fontId="62" fillId="0" borderId="2" xfId="3" applyNumberFormat="1" applyFont="1" applyFill="1" applyBorder="1" applyAlignment="1">
      <alignment horizontal="center"/>
    </xf>
    <xf numFmtId="164" fontId="62" fillId="0" borderId="5" xfId="3" applyNumberFormat="1" applyFont="1" applyFill="1" applyBorder="1" applyAlignment="1">
      <alignment horizontal="center"/>
    </xf>
    <xf numFmtId="164" fontId="62" fillId="21" borderId="0" xfId="3" applyNumberFormat="1" applyFont="1" applyFill="1" applyBorder="1" applyAlignment="1">
      <alignment horizontal="center"/>
    </xf>
    <xf numFmtId="164" fontId="62" fillId="21" borderId="5" xfId="3" applyNumberFormat="1" applyFont="1" applyFill="1" applyBorder="1" applyAlignment="1">
      <alignment horizontal="center"/>
    </xf>
    <xf numFmtId="164" fontId="62" fillId="0" borderId="6" xfId="3" applyNumberFormat="1" applyFont="1" applyFill="1" applyBorder="1" applyAlignment="1">
      <alignment horizontal="center"/>
    </xf>
    <xf numFmtId="164" fontId="62" fillId="0" borderId="5" xfId="3" applyNumberFormat="1" applyFont="1" applyBorder="1" applyAlignment="1">
      <alignment horizontal="center"/>
    </xf>
    <xf numFmtId="164" fontId="62" fillId="0" borderId="0" xfId="3" applyNumberFormat="1" applyFont="1" applyFill="1" applyBorder="1" applyAlignment="1">
      <alignment horizontal="center"/>
    </xf>
  </cellXfs>
  <cellStyles count="394">
    <cellStyle name="20% - Accent1 2" xfId="42"/>
    <cellStyle name="20% - Accent1 3" xfId="43"/>
    <cellStyle name="20% - Accent1 4" xfId="44"/>
    <cellStyle name="20% - Accent1 5" xfId="45"/>
    <cellStyle name="20% - Accent1 6" xfId="46"/>
    <cellStyle name="20% - Accent2 2" xfId="47"/>
    <cellStyle name="20% - Accent2 3" xfId="48"/>
    <cellStyle name="20% - Accent2 4" xfId="49"/>
    <cellStyle name="20% - Accent2 5" xfId="50"/>
    <cellStyle name="20% - Accent2 6" xfId="51"/>
    <cellStyle name="20% - Accent3 2" xfId="52"/>
    <cellStyle name="20% - Accent3 3" xfId="53"/>
    <cellStyle name="20% - Accent3 4" xfId="54"/>
    <cellStyle name="20% - Accent3 5" xfId="55"/>
    <cellStyle name="20% - Accent3 6" xfId="56"/>
    <cellStyle name="20% - Accent4 2" xfId="57"/>
    <cellStyle name="20% - Accent4 3" xfId="58"/>
    <cellStyle name="20% - Accent4 4" xfId="59"/>
    <cellStyle name="20% - Accent4 5" xfId="60"/>
    <cellStyle name="20% - Accent4 6" xfId="61"/>
    <cellStyle name="20% - Accent5 2" xfId="62"/>
    <cellStyle name="20% - Accent5 3" xfId="63"/>
    <cellStyle name="20% - Accent5 4" xfId="64"/>
    <cellStyle name="20% - Accent5 5" xfId="65"/>
    <cellStyle name="20% - Accent5 6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40% - Accent1 2" xfId="72"/>
    <cellStyle name="40% - Accent1 3" xfId="73"/>
    <cellStyle name="40% - Accent1 4" xfId="74"/>
    <cellStyle name="40% - Accent1 5" xfId="75"/>
    <cellStyle name="40% - Accent1 6" xfId="76"/>
    <cellStyle name="40% - Accent2 2" xfId="77"/>
    <cellStyle name="40% - Accent2 3" xfId="78"/>
    <cellStyle name="40% - Accent2 4" xfId="79"/>
    <cellStyle name="40% - Accent2 5" xfId="80"/>
    <cellStyle name="40% - Accent2 6" xfId="81"/>
    <cellStyle name="40% - Accent3 2" xfId="82"/>
    <cellStyle name="40% - Accent3 3" xfId="83"/>
    <cellStyle name="40% - Accent3 4" xfId="84"/>
    <cellStyle name="40% - Accent3 5" xfId="85"/>
    <cellStyle name="40% - Accent3 6" xfId="86"/>
    <cellStyle name="40% - Accent4 2" xfId="87"/>
    <cellStyle name="40% - Accent4 3" xfId="88"/>
    <cellStyle name="40% - Accent4 4" xfId="89"/>
    <cellStyle name="40% - Accent4 5" xfId="90"/>
    <cellStyle name="40% - Accent4 6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6 2" xfId="97"/>
    <cellStyle name="40% - Accent6 3" xfId="98"/>
    <cellStyle name="40% - Accent6 4" xfId="99"/>
    <cellStyle name="40% - Accent6 5" xfId="100"/>
    <cellStyle name="40% - Accent6 6" xfId="101"/>
    <cellStyle name="7Mini" xfId="7"/>
    <cellStyle name="Arreg" xfId="102"/>
    <cellStyle name="Comma" xfId="1" builtinId="3"/>
    <cellStyle name="Comma 10" xfId="103"/>
    <cellStyle name="Comma 10 10" xfId="393"/>
    <cellStyle name="Comma 10 2" xfId="104"/>
    <cellStyle name="Comma 10 3" xfId="105"/>
    <cellStyle name="Comma 10 4" xfId="106"/>
    <cellStyle name="Comma 10 5" xfId="107"/>
    <cellStyle name="Comma 10 6" xfId="108"/>
    <cellStyle name="Comma 10 7" xfId="109"/>
    <cellStyle name="Comma 10 8" xfId="110"/>
    <cellStyle name="Comma 10 9" xfId="111"/>
    <cellStyle name="Comma 11" xfId="112"/>
    <cellStyle name="Comma 11 2" xfId="113"/>
    <cellStyle name="Comma 11 3" xfId="114"/>
    <cellStyle name="Comma 11 4" xfId="115"/>
    <cellStyle name="Comma 11 5" xfId="116"/>
    <cellStyle name="Comma 11 6" xfId="117"/>
    <cellStyle name="Comma 11 7" xfId="118"/>
    <cellStyle name="Comma 11 8" xfId="119"/>
    <cellStyle name="Comma 11 9" xfId="120"/>
    <cellStyle name="Comma 12" xfId="121"/>
    <cellStyle name="Comma 12 2" xfId="122"/>
    <cellStyle name="Comma 12 3" xfId="123"/>
    <cellStyle name="Comma 12 4" xfId="124"/>
    <cellStyle name="Comma 12 5" xfId="125"/>
    <cellStyle name="Comma 12 6" xfId="126"/>
    <cellStyle name="Comma 12 7" xfId="127"/>
    <cellStyle name="Comma 12 8" xfId="128"/>
    <cellStyle name="Comma 12 9" xfId="129"/>
    <cellStyle name="Comma 123" xfId="130"/>
    <cellStyle name="Comma 124" xfId="131"/>
    <cellStyle name="Comma 125" xfId="132"/>
    <cellStyle name="Comma 126" xfId="133"/>
    <cellStyle name="Comma 127" xfId="134"/>
    <cellStyle name="Comma 128" xfId="135"/>
    <cellStyle name="Comma 129" xfId="136"/>
    <cellStyle name="Comma 13" xfId="137"/>
    <cellStyle name="Comma 13 2" xfId="138"/>
    <cellStyle name="Comma 13 3" xfId="139"/>
    <cellStyle name="Comma 13 4" xfId="140"/>
    <cellStyle name="Comma 13 5" xfId="141"/>
    <cellStyle name="Comma 13 6" xfId="142"/>
    <cellStyle name="Comma 13 7" xfId="143"/>
    <cellStyle name="Comma 13 8" xfId="144"/>
    <cellStyle name="Comma 13 9" xfId="145"/>
    <cellStyle name="Comma 130" xfId="146"/>
    <cellStyle name="Comma 131" xfId="147"/>
    <cellStyle name="Comma 133" xfId="148"/>
    <cellStyle name="Comma 134" xfId="149"/>
    <cellStyle name="Comma 135" xfId="150"/>
    <cellStyle name="Comma 136" xfId="151"/>
    <cellStyle name="Comma 137" xfId="152"/>
    <cellStyle name="Comma 138" xfId="153"/>
    <cellStyle name="Comma 14" xfId="154"/>
    <cellStyle name="Comma 14 2" xfId="155"/>
    <cellStyle name="Comma 14 3" xfId="156"/>
    <cellStyle name="Comma 14 4" xfId="157"/>
    <cellStyle name="Comma 14 5" xfId="158"/>
    <cellStyle name="Comma 14 6" xfId="159"/>
    <cellStyle name="Comma 14 7" xfId="160"/>
    <cellStyle name="Comma 14 8" xfId="161"/>
    <cellStyle name="Comma 14 9" xfId="162"/>
    <cellStyle name="Comma 140" xfId="163"/>
    <cellStyle name="Comma 141" xfId="164"/>
    <cellStyle name="Comma 142" xfId="165"/>
    <cellStyle name="Comma 143" xfId="166"/>
    <cellStyle name="Comma 145" xfId="167"/>
    <cellStyle name="Comma 146" xfId="168"/>
    <cellStyle name="Comma 148" xfId="169"/>
    <cellStyle name="Comma 149" xfId="170"/>
    <cellStyle name="Comma 15" xfId="171"/>
    <cellStyle name="Comma 150" xfId="172"/>
    <cellStyle name="Comma 151" xfId="173"/>
    <cellStyle name="Comma 152" xfId="174"/>
    <cellStyle name="Comma 153" xfId="175"/>
    <cellStyle name="Comma 155" xfId="176"/>
    <cellStyle name="Comma 156" xfId="177"/>
    <cellStyle name="Comma 157" xfId="178"/>
    <cellStyle name="Comma 158" xfId="179"/>
    <cellStyle name="Comma 159" xfId="180"/>
    <cellStyle name="Comma 16 2" xfId="181"/>
    <cellStyle name="Comma 16 3" xfId="182"/>
    <cellStyle name="Comma 16 4" xfId="183"/>
    <cellStyle name="Comma 16 5" xfId="184"/>
    <cellStyle name="Comma 16 6" xfId="185"/>
    <cellStyle name="Comma 16 7" xfId="186"/>
    <cellStyle name="Comma 16 8" xfId="187"/>
    <cellStyle name="Comma 16 9" xfId="188"/>
    <cellStyle name="Comma 160" xfId="189"/>
    <cellStyle name="Comma 161" xfId="190"/>
    <cellStyle name="Comma 162" xfId="191"/>
    <cellStyle name="Comma 18 2" xfId="192"/>
    <cellStyle name="Comma 18 3" xfId="193"/>
    <cellStyle name="Comma 18 4" xfId="194"/>
    <cellStyle name="Comma 18 5" xfId="195"/>
    <cellStyle name="Comma 18 6" xfId="196"/>
    <cellStyle name="Comma 18 7" xfId="197"/>
    <cellStyle name="Comma 18 8" xfId="198"/>
    <cellStyle name="Comma 18 9" xfId="199"/>
    <cellStyle name="Comma 2" xfId="4"/>
    <cellStyle name="Comma 2 2" xfId="39"/>
    <cellStyle name="Comma 2 3" xfId="200"/>
    <cellStyle name="Comma 2 4" xfId="201"/>
    <cellStyle name="Comma 2 5" xfId="202"/>
    <cellStyle name="Comma 2 6" xfId="36"/>
    <cellStyle name="Comma 21 2" xfId="203"/>
    <cellStyle name="Comma 21 3" xfId="204"/>
    <cellStyle name="Comma 21 4" xfId="205"/>
    <cellStyle name="Comma 21 5" xfId="206"/>
    <cellStyle name="Comma 21 6" xfId="207"/>
    <cellStyle name="Comma 21 7" xfId="208"/>
    <cellStyle name="Comma 21 8" xfId="209"/>
    <cellStyle name="Comma 21 9" xfId="210"/>
    <cellStyle name="Comma 23 2" xfId="211"/>
    <cellStyle name="Comma 23 3" xfId="212"/>
    <cellStyle name="Comma 23 4" xfId="213"/>
    <cellStyle name="Comma 23 5" xfId="214"/>
    <cellStyle name="Comma 23 6" xfId="215"/>
    <cellStyle name="Comma 23 7" xfId="216"/>
    <cellStyle name="Comma 23 8" xfId="217"/>
    <cellStyle name="Comma 23 9" xfId="218"/>
    <cellStyle name="Comma 25 2" xfId="219"/>
    <cellStyle name="Comma 25 3" xfId="220"/>
    <cellStyle name="Comma 25 4" xfId="221"/>
    <cellStyle name="Comma 25 5" xfId="222"/>
    <cellStyle name="Comma 25 6" xfId="223"/>
    <cellStyle name="Comma 25 7" xfId="224"/>
    <cellStyle name="Comma 25 8" xfId="225"/>
    <cellStyle name="Comma 25 9" xfId="226"/>
    <cellStyle name="Comma 27 2" xfId="227"/>
    <cellStyle name="Comma 27 3" xfId="228"/>
    <cellStyle name="Comma 27 4" xfId="229"/>
    <cellStyle name="Comma 27 5" xfId="230"/>
    <cellStyle name="Comma 27 6" xfId="231"/>
    <cellStyle name="Comma 27 7" xfId="232"/>
    <cellStyle name="Comma 27 8" xfId="233"/>
    <cellStyle name="Comma 27 9" xfId="234"/>
    <cellStyle name="Comma 29 2" xfId="235"/>
    <cellStyle name="Comma 29 3" xfId="236"/>
    <cellStyle name="Comma 29 4" xfId="237"/>
    <cellStyle name="Comma 29 5" xfId="238"/>
    <cellStyle name="Comma 29 6" xfId="239"/>
    <cellStyle name="Comma 29 7" xfId="240"/>
    <cellStyle name="Comma 29 8" xfId="241"/>
    <cellStyle name="Comma 29 9" xfId="242"/>
    <cellStyle name="Comma 3" xfId="37"/>
    <cellStyle name="Comma 3 2" xfId="243"/>
    <cellStyle name="Comma 3 2 2" xfId="244"/>
    <cellStyle name="Comma 3 3" xfId="245"/>
    <cellStyle name="Comma 30" xfId="246"/>
    <cellStyle name="Comma 31" xfId="247"/>
    <cellStyle name="Comma 31 2" xfId="248"/>
    <cellStyle name="Comma 31 3" xfId="249"/>
    <cellStyle name="Comma 31 4" xfId="250"/>
    <cellStyle name="Comma 31 5" xfId="251"/>
    <cellStyle name="Comma 31 6" xfId="252"/>
    <cellStyle name="Comma 31 7" xfId="253"/>
    <cellStyle name="Comma 31 8" xfId="254"/>
    <cellStyle name="Comma 31 9" xfId="255"/>
    <cellStyle name="Comma 33 2" xfId="256"/>
    <cellStyle name="Comma 33 3" xfId="257"/>
    <cellStyle name="Comma 33 4" xfId="258"/>
    <cellStyle name="Comma 33 5" xfId="259"/>
    <cellStyle name="Comma 33 6" xfId="260"/>
    <cellStyle name="Comma 33 7" xfId="261"/>
    <cellStyle name="Comma 33 8" xfId="262"/>
    <cellStyle name="Comma 33 9" xfId="263"/>
    <cellStyle name="Comma 35 2" xfId="264"/>
    <cellStyle name="Comma 35 3" xfId="265"/>
    <cellStyle name="Comma 35 4" xfId="266"/>
    <cellStyle name="Comma 35 5" xfId="267"/>
    <cellStyle name="Comma 35 6" xfId="268"/>
    <cellStyle name="Comma 35 7" xfId="269"/>
    <cellStyle name="Comma 35 8" xfId="270"/>
    <cellStyle name="Comma 35 9" xfId="271"/>
    <cellStyle name="Comma 4" xfId="38"/>
    <cellStyle name="Comma 4 2" xfId="272"/>
    <cellStyle name="Comma 4 3" xfId="273"/>
    <cellStyle name="Comma 4 4" xfId="274"/>
    <cellStyle name="Comma 4 5" xfId="275"/>
    <cellStyle name="Comma 4 6" xfId="276"/>
    <cellStyle name="Comma 4 7" xfId="277"/>
    <cellStyle name="Comma 4 8" xfId="278"/>
    <cellStyle name="Comma 4 9" xfId="279"/>
    <cellStyle name="Comma 41" xfId="280"/>
    <cellStyle name="Comma 44" xfId="281"/>
    <cellStyle name="Comma 47" xfId="282"/>
    <cellStyle name="Comma 5" xfId="41"/>
    <cellStyle name="Comma 5 2" xfId="283"/>
    <cellStyle name="Comma 5 3" xfId="284"/>
    <cellStyle name="Comma 5 4" xfId="285"/>
    <cellStyle name="Comma 5 5" xfId="286"/>
    <cellStyle name="Comma 5 6" xfId="287"/>
    <cellStyle name="Comma 5 7" xfId="288"/>
    <cellStyle name="Comma 5 8" xfId="289"/>
    <cellStyle name="Comma 5 9" xfId="290"/>
    <cellStyle name="Comma 59" xfId="291"/>
    <cellStyle name="Comma 6" xfId="292"/>
    <cellStyle name="Comma 61" xfId="293"/>
    <cellStyle name="Comma 7" xfId="294"/>
    <cellStyle name="Comma 7 2" xfId="295"/>
    <cellStyle name="Comma 7 3" xfId="296"/>
    <cellStyle name="Comma 7 4" xfId="297"/>
    <cellStyle name="Comma 7 5" xfId="298"/>
    <cellStyle name="Comma 7 6" xfId="299"/>
    <cellStyle name="Comma 7 7" xfId="300"/>
    <cellStyle name="Comma 7 8" xfId="301"/>
    <cellStyle name="Comma 7 9" xfId="302"/>
    <cellStyle name="Comma 8" xfId="303"/>
    <cellStyle name="Comma 8 2" xfId="304"/>
    <cellStyle name="Comma 8 3" xfId="305"/>
    <cellStyle name="Comma 8 4" xfId="306"/>
    <cellStyle name="Comma 8 5" xfId="307"/>
    <cellStyle name="Comma 8 6" xfId="308"/>
    <cellStyle name="Comma 8 7" xfId="309"/>
    <cellStyle name="Comma 8 8" xfId="310"/>
    <cellStyle name="Comma 8 9" xfId="311"/>
    <cellStyle name="Comma 83" xfId="312"/>
    <cellStyle name="Comma 9" xfId="313"/>
    <cellStyle name="Comma 9 2" xfId="314"/>
    <cellStyle name="Comma 9 3" xfId="315"/>
    <cellStyle name="Comma 9 4" xfId="316"/>
    <cellStyle name="Comma 9 5" xfId="317"/>
    <cellStyle name="Comma 9 6" xfId="318"/>
    <cellStyle name="Comma 9 7" xfId="319"/>
    <cellStyle name="Comma 9 8" xfId="320"/>
    <cellStyle name="Comma 9 9" xfId="321"/>
    <cellStyle name="Comma0 - Modelo1" xfId="8"/>
    <cellStyle name="Comma0 - Style1" xfId="9"/>
    <cellStyle name="Comma1 - Modelo2" xfId="10"/>
    <cellStyle name="Comma1 - Style2" xfId="11"/>
    <cellStyle name="Currency" xfId="2" builtinId="4"/>
    <cellStyle name="Currency 2" xfId="5"/>
    <cellStyle name="Currency 2 2" xfId="322"/>
    <cellStyle name="Currency 3" xfId="323"/>
    <cellStyle name="Currency 4" xfId="387"/>
    <cellStyle name="Dia" xfId="12"/>
    <cellStyle name="Encabez1" xfId="13"/>
    <cellStyle name="Encabez2" xfId="14"/>
    <cellStyle name="Header 1" xfId="15"/>
    <cellStyle name="Header 1 Left" xfId="16"/>
    <cellStyle name="Header 1(box)" xfId="17"/>
    <cellStyle name="Header 1(middle)" xfId="18"/>
    <cellStyle name="Header 1_Front Page" xfId="19"/>
    <cellStyle name="Header 2" xfId="20"/>
    <cellStyle name="Header Price 1" xfId="21"/>
    <cellStyle name="Header Price 2" xfId="22"/>
    <cellStyle name="Helv 8" xfId="23"/>
    <cellStyle name="Hyperlink 2" xfId="324"/>
    <cellStyle name="Îáû÷íûé_Ðîëü PGS 11.09.95" xfId="24"/>
    <cellStyle name="Kolonne" xfId="325"/>
    <cellStyle name="KPMG Heading 1" xfId="326"/>
    <cellStyle name="KPMG Heading 2" xfId="327"/>
    <cellStyle name="KPMG Heading 3" xfId="328"/>
    <cellStyle name="KPMG Heading 4" xfId="329"/>
    <cellStyle name="KPMG Normal" xfId="330"/>
    <cellStyle name="KPMG Normal Text" xfId="331"/>
    <cellStyle name="Millares [0]_Well Timing" xfId="332"/>
    <cellStyle name="Millares_Well Timing" xfId="333"/>
    <cellStyle name="Moneda [0]_Well Timing" xfId="334"/>
    <cellStyle name="Moneda_Well Timing" xfId="335"/>
    <cellStyle name="N0" xfId="25"/>
    <cellStyle name="N1" xfId="26"/>
    <cellStyle name="N2" xfId="27"/>
    <cellStyle name="N3" xfId="28"/>
    <cellStyle name="N4" xfId="29"/>
    <cellStyle name="Normal" xfId="0" builtinId="0"/>
    <cellStyle name="Normal - Style1" xfId="336"/>
    <cellStyle name="Normal - Style2" xfId="337"/>
    <cellStyle name="Normal 10" xfId="338"/>
    <cellStyle name="Normal 10 2" xfId="388"/>
    <cellStyle name="Normal 11" xfId="339"/>
    <cellStyle name="Normal 12" xfId="340"/>
    <cellStyle name="Normal 13" xfId="341"/>
    <cellStyle name="Normal 14" xfId="342"/>
    <cellStyle name="Normal 15" xfId="343"/>
    <cellStyle name="Normal 16" xfId="344"/>
    <cellStyle name="Normal 17" xfId="345"/>
    <cellStyle name="Normal 18" xfId="346"/>
    <cellStyle name="Normal 19" xfId="347"/>
    <cellStyle name="Normal 2" xfId="3"/>
    <cellStyle name="Normal 2 2" xfId="35"/>
    <cellStyle name="Normal 2 2 2" xfId="348"/>
    <cellStyle name="Normal 2 2 3" xfId="349"/>
    <cellStyle name="Normal 2 3" xfId="350"/>
    <cellStyle name="Normal 2 4" xfId="6"/>
    <cellStyle name="Normal 20" xfId="351"/>
    <cellStyle name="Normal 21" xfId="352"/>
    <cellStyle name="Normal 22" xfId="353"/>
    <cellStyle name="Normal 23" xfId="354"/>
    <cellStyle name="Normal 24" xfId="355"/>
    <cellStyle name="Normal 25" xfId="356"/>
    <cellStyle name="Normal 26" xfId="357"/>
    <cellStyle name="Normal 27" xfId="358"/>
    <cellStyle name="Normal 28" xfId="359"/>
    <cellStyle name="Normal 29" xfId="389"/>
    <cellStyle name="Normal 3" xfId="30"/>
    <cellStyle name="Normal 3 2" xfId="360"/>
    <cellStyle name="Normal 30" xfId="391"/>
    <cellStyle name="Normal 31" xfId="390"/>
    <cellStyle name="Normal 32" xfId="392"/>
    <cellStyle name="Normal 4" xfId="31"/>
    <cellStyle name="Normal 4 2" xfId="361"/>
    <cellStyle name="Normal 5" xfId="34"/>
    <cellStyle name="Normal 6" xfId="40"/>
    <cellStyle name="Normal 7" xfId="362"/>
    <cellStyle name="Normal 8" xfId="363"/>
    <cellStyle name="Normal 82" xfId="364"/>
    <cellStyle name="Normal 83" xfId="365"/>
    <cellStyle name="Normal 9" xfId="366"/>
    <cellStyle name="Note 2" xfId="367"/>
    <cellStyle name="Note 3" xfId="368"/>
    <cellStyle name="Note 4" xfId="369"/>
    <cellStyle name="Note 5" xfId="370"/>
    <cellStyle name="Note 6" xfId="371"/>
    <cellStyle name="Note 7" xfId="372"/>
    <cellStyle name="Òûñÿ÷è [0]_PGSLAB" xfId="32"/>
    <cellStyle name="Òûñÿ÷è_PGSLAB" xfId="33"/>
    <cellStyle name="Percent 2" xfId="373"/>
    <cellStyle name="Percent 2 2" xfId="374"/>
    <cellStyle name="Percent 3" xfId="375"/>
    <cellStyle name="Percent 4" xfId="376"/>
    <cellStyle name="Percent 5" xfId="377"/>
    <cellStyle name="Percent 6" xfId="378"/>
    <cellStyle name="PSChar" xfId="379"/>
    <cellStyle name="PSChar 2" xfId="380"/>
    <cellStyle name="PSDate" xfId="381"/>
    <cellStyle name="PSDec" xfId="382"/>
    <cellStyle name="PSHeading" xfId="383"/>
    <cellStyle name="PSInt" xfId="384"/>
    <cellStyle name="PSSpacer" xfId="385"/>
    <cellStyle name="Tabelltittel" xfId="3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66"/>
  <sheetViews>
    <sheetView showGridLines="0" tabSelected="1" zoomScale="110" zoomScaleNormal="110" workbookViewId="0">
      <selection sqref="A1:P1"/>
    </sheetView>
  </sheetViews>
  <sheetFormatPr defaultColWidth="9.140625" defaultRowHeight="12.75"/>
  <cols>
    <col min="1" max="1" width="2.5703125" style="1" customWidth="1"/>
    <col min="2" max="2" width="59" style="4" customWidth="1"/>
    <col min="3" max="3" width="1.7109375" style="4" customWidth="1"/>
    <col min="4" max="4" width="5.7109375" style="4" customWidth="1"/>
    <col min="5" max="5" width="1.7109375" style="4" customWidth="1"/>
    <col min="6" max="6" width="13.42578125" style="1" bestFit="1" customWidth="1"/>
    <col min="7" max="7" width="1.140625" style="1" customWidth="1"/>
    <col min="8" max="8" width="12.85546875" style="1" customWidth="1"/>
    <col min="9" max="9" width="2.42578125" style="4" customWidth="1"/>
    <col min="10" max="10" width="10.28515625" style="4" customWidth="1"/>
    <col min="11" max="11" width="1.7109375" style="4" customWidth="1"/>
    <col min="12" max="12" width="8.42578125" style="4" customWidth="1"/>
    <col min="13" max="13" width="2.140625" style="4" customWidth="1"/>
    <col min="14" max="14" width="12.5703125" style="1" customWidth="1"/>
    <col min="15" max="15" width="3.5703125" style="1" customWidth="1"/>
    <col min="16" max="16" width="6.7109375" style="1" customWidth="1"/>
    <col min="17" max="17" width="9" style="1" customWidth="1"/>
    <col min="18" max="18" width="13.42578125" style="1" bestFit="1" customWidth="1"/>
    <col min="19" max="19" width="8.28515625" style="1" customWidth="1"/>
    <col min="20" max="20" width="13.42578125" style="1" bestFit="1" customWidth="1"/>
    <col min="21" max="21" width="5" style="1" customWidth="1"/>
    <col min="22" max="22" width="6.7109375" style="1" customWidth="1"/>
    <col min="23" max="23" width="7.85546875" style="1" customWidth="1"/>
    <col min="24" max="24" width="5.85546875" style="1" customWidth="1"/>
    <col min="25" max="26" width="9.140625" style="1" customWidth="1"/>
    <col min="27" max="16384" width="9.140625" style="1"/>
  </cols>
  <sheetData>
    <row r="1" spans="1:27" ht="18.75">
      <c r="A1" s="539" t="s">
        <v>200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100"/>
      <c r="R1" s="100"/>
      <c r="S1" s="100"/>
      <c r="T1" s="100"/>
      <c r="U1" s="100"/>
      <c r="V1" s="9"/>
      <c r="W1" s="8"/>
      <c r="X1" s="8"/>
      <c r="Y1" s="8"/>
      <c r="Z1" s="118"/>
    </row>
    <row r="2" spans="1:27" ht="16.5" customHeight="1" thickBot="1">
      <c r="A2" s="176"/>
      <c r="B2" s="176"/>
      <c r="C2" s="176"/>
      <c r="D2" s="176"/>
      <c r="E2" s="176"/>
      <c r="F2" s="190"/>
      <c r="G2" s="190"/>
      <c r="H2" s="191"/>
      <c r="I2" s="176"/>
      <c r="J2" s="176"/>
      <c r="K2" s="176"/>
      <c r="L2" s="176"/>
      <c r="M2" s="176"/>
      <c r="N2" s="190"/>
      <c r="O2" s="191"/>
      <c r="P2" s="191"/>
      <c r="Q2" s="80"/>
      <c r="R2" s="80"/>
      <c r="S2" s="102"/>
      <c r="T2" s="121"/>
      <c r="U2" s="80"/>
      <c r="V2" s="19"/>
      <c r="W2" s="8"/>
      <c r="X2" s="8"/>
      <c r="Y2" s="8"/>
      <c r="Z2" s="118"/>
    </row>
    <row r="3" spans="1:27" s="39" customFormat="1" ht="14.25" customHeight="1">
      <c r="A3" s="137"/>
      <c r="B3" s="137"/>
      <c r="C3" s="137"/>
      <c r="D3" s="137"/>
      <c r="E3" s="137"/>
      <c r="F3" s="540" t="s">
        <v>5</v>
      </c>
      <c r="G3" s="540"/>
      <c r="H3" s="540"/>
      <c r="I3" s="137"/>
      <c r="J3" s="137"/>
      <c r="K3" s="137" t="s">
        <v>254</v>
      </c>
      <c r="L3" s="137"/>
      <c r="M3" s="137"/>
      <c r="N3" s="542" t="s">
        <v>239</v>
      </c>
      <c r="O3" s="464"/>
      <c r="P3" s="149"/>
      <c r="Q3" s="43"/>
      <c r="R3" s="43"/>
      <c r="S3" s="42"/>
      <c r="T3" s="42"/>
      <c r="U3" s="43"/>
      <c r="V3" s="43"/>
      <c r="W3" s="90"/>
      <c r="X3" s="43"/>
    </row>
    <row r="4" spans="1:27" s="41" customFormat="1" ht="11.45" customHeight="1">
      <c r="A4" s="137"/>
      <c r="B4" s="137"/>
      <c r="C4" s="137"/>
      <c r="D4" s="150"/>
      <c r="E4" s="150"/>
      <c r="F4" s="541" t="s">
        <v>249</v>
      </c>
      <c r="G4" s="541"/>
      <c r="H4" s="541"/>
      <c r="I4" s="150"/>
      <c r="J4" s="492"/>
      <c r="K4" s="521" t="s">
        <v>249</v>
      </c>
      <c r="L4" s="495"/>
      <c r="M4" s="150"/>
      <c r="N4" s="543"/>
      <c r="O4" s="465"/>
      <c r="P4" s="151"/>
      <c r="Q4" s="124"/>
      <c r="R4" s="124"/>
      <c r="S4" s="42"/>
      <c r="T4" s="42"/>
      <c r="U4" s="105"/>
      <c r="V4" s="44"/>
      <c r="W4" s="44"/>
      <c r="X4" s="44"/>
    </row>
    <row r="5" spans="1:27" ht="15.75" customHeight="1" thickBot="1">
      <c r="A5" s="192" t="s">
        <v>99</v>
      </c>
      <c r="B5" s="178"/>
      <c r="C5" s="177"/>
      <c r="D5" s="178" t="s">
        <v>36</v>
      </c>
      <c r="E5" s="177"/>
      <c r="F5" s="179">
        <v>2017</v>
      </c>
      <c r="G5" s="177"/>
      <c r="H5" s="178">
        <v>2016</v>
      </c>
      <c r="I5" s="177"/>
      <c r="J5" s="179">
        <v>2017</v>
      </c>
      <c r="K5" s="177"/>
      <c r="L5" s="179">
        <v>2016</v>
      </c>
      <c r="M5" s="177"/>
      <c r="N5" s="178">
        <v>2016</v>
      </c>
      <c r="O5" s="177"/>
      <c r="P5" s="177"/>
      <c r="Q5" s="91"/>
      <c r="R5" s="91"/>
      <c r="S5" s="91"/>
      <c r="T5" s="91"/>
      <c r="U5" s="121"/>
      <c r="V5" s="7"/>
    </row>
    <row r="6" spans="1:27" ht="11.45" customHeight="1">
      <c r="A6" s="182"/>
      <c r="B6" s="177"/>
      <c r="C6" s="177"/>
      <c r="D6" s="177"/>
      <c r="E6" s="177"/>
      <c r="F6" s="180"/>
      <c r="G6" s="177"/>
      <c r="H6" s="193"/>
      <c r="I6" s="177"/>
      <c r="J6" s="177"/>
      <c r="K6" s="177"/>
      <c r="L6" s="177"/>
      <c r="M6" s="177"/>
      <c r="N6" s="193"/>
      <c r="O6" s="177"/>
      <c r="P6" s="177"/>
      <c r="Q6" s="91"/>
      <c r="R6" s="91"/>
      <c r="S6" s="91"/>
      <c r="T6" s="91"/>
      <c r="U6" s="121"/>
      <c r="V6" s="7"/>
    </row>
    <row r="7" spans="1:27" ht="11.45" customHeight="1">
      <c r="A7" s="263" t="s">
        <v>16</v>
      </c>
      <c r="B7" s="263"/>
      <c r="C7" s="169"/>
      <c r="D7" s="279">
        <v>1</v>
      </c>
      <c r="E7" s="169"/>
      <c r="F7" s="379">
        <f>Notes!F9</f>
        <v>207.572</v>
      </c>
      <c r="G7" s="146"/>
      <c r="H7" s="186">
        <v>224.1</v>
      </c>
      <c r="I7" s="172"/>
      <c r="J7" s="186">
        <f>+Notes!J9</f>
        <v>602.87200000000007</v>
      </c>
      <c r="K7" s="145"/>
      <c r="L7" s="186">
        <v>610.20000000000005</v>
      </c>
      <c r="M7" s="186"/>
      <c r="N7" s="186">
        <v>764.3</v>
      </c>
      <c r="O7" s="161"/>
      <c r="P7" s="146"/>
      <c r="Q7" s="91"/>
      <c r="R7" s="91"/>
      <c r="S7" s="91"/>
      <c r="T7" s="91"/>
      <c r="U7" s="91"/>
      <c r="V7" s="12"/>
      <c r="W7" s="7"/>
      <c r="X7" s="7"/>
    </row>
    <row r="8" spans="1:27" ht="11.45" customHeight="1">
      <c r="A8" s="169"/>
      <c r="B8" s="169"/>
      <c r="C8" s="169"/>
      <c r="D8" s="279"/>
      <c r="E8" s="169"/>
      <c r="F8" s="342"/>
      <c r="G8" s="146"/>
      <c r="H8" s="146"/>
      <c r="I8" s="172"/>
      <c r="J8" s="172"/>
      <c r="K8" s="172"/>
      <c r="L8" s="172"/>
      <c r="M8" s="172"/>
      <c r="N8" s="146"/>
      <c r="O8" s="161"/>
      <c r="P8" s="146"/>
      <c r="Q8" s="91"/>
      <c r="R8" s="91"/>
      <c r="S8" s="91"/>
      <c r="T8" s="91"/>
      <c r="U8" s="91"/>
      <c r="V8" s="12"/>
      <c r="W8" s="7"/>
      <c r="X8" s="7"/>
    </row>
    <row r="9" spans="1:27" ht="11.45" customHeight="1">
      <c r="A9" s="160" t="s">
        <v>37</v>
      </c>
      <c r="B9" s="160"/>
      <c r="C9" s="169"/>
      <c r="D9" s="280">
        <v>2</v>
      </c>
      <c r="E9" s="169"/>
      <c r="F9" s="340">
        <f>Notes!F55+Notes!F59</f>
        <v>-85.128</v>
      </c>
      <c r="G9" s="146"/>
      <c r="H9" s="145">
        <v>-99.8</v>
      </c>
      <c r="I9" s="172"/>
      <c r="J9" s="340">
        <f>+Notes!J55+Notes!J59-0.1</f>
        <v>-311.82800000000003</v>
      </c>
      <c r="K9" s="172"/>
      <c r="L9" s="145">
        <v>-306.7</v>
      </c>
      <c r="M9" s="172"/>
      <c r="N9" s="145">
        <v>-393.2</v>
      </c>
      <c r="O9" s="161"/>
      <c r="P9" s="162"/>
      <c r="Q9" s="91"/>
      <c r="R9" s="91"/>
      <c r="S9" s="91"/>
      <c r="T9" s="91"/>
      <c r="U9" s="91"/>
      <c r="V9" s="27"/>
      <c r="W9" s="7"/>
      <c r="X9" s="7"/>
    </row>
    <row r="10" spans="1:27" ht="11.45" customHeight="1">
      <c r="A10" s="160" t="s">
        <v>38</v>
      </c>
      <c r="B10" s="160"/>
      <c r="C10" s="169"/>
      <c r="D10" s="281">
        <v>2</v>
      </c>
      <c r="E10" s="169"/>
      <c r="F10" s="340">
        <f>Notes!F56+Notes!F60</f>
        <v>-4.1820000000000004</v>
      </c>
      <c r="G10" s="145"/>
      <c r="H10" s="145">
        <v>-3.7</v>
      </c>
      <c r="I10" s="172"/>
      <c r="J10" s="145">
        <f>+Notes!J56+Notes!J60</f>
        <v>-12.181999999999999</v>
      </c>
      <c r="K10" s="172"/>
      <c r="L10" s="145">
        <v>-14.2</v>
      </c>
      <c r="M10" s="172"/>
      <c r="N10" s="145">
        <v>-19.5</v>
      </c>
      <c r="O10" s="162"/>
      <c r="P10" s="162"/>
      <c r="Q10" s="91"/>
      <c r="R10" s="91"/>
      <c r="S10" s="91"/>
      <c r="T10" s="91"/>
      <c r="U10" s="91"/>
      <c r="V10" s="103"/>
      <c r="W10" s="7"/>
      <c r="X10" s="7"/>
      <c r="Y10" s="37"/>
    </row>
    <row r="11" spans="1:27" ht="11.45" customHeight="1">
      <c r="A11" s="169" t="s">
        <v>39</v>
      </c>
      <c r="B11" s="169"/>
      <c r="C11" s="169"/>
      <c r="D11" s="260">
        <v>2</v>
      </c>
      <c r="E11" s="169"/>
      <c r="F11" s="340">
        <f>+Notes!F57</f>
        <v>-9.6969999999999992</v>
      </c>
      <c r="G11" s="146"/>
      <c r="H11" s="145">
        <v>-7.8</v>
      </c>
      <c r="I11" s="172"/>
      <c r="J11" s="145">
        <f>+Notes!J57</f>
        <v>-27.596999999999998</v>
      </c>
      <c r="K11" s="172"/>
      <c r="L11" s="145">
        <v>-29</v>
      </c>
      <c r="M11" s="172"/>
      <c r="N11" s="145">
        <v>-38.4</v>
      </c>
      <c r="O11" s="161"/>
      <c r="P11" s="161"/>
      <c r="Q11" s="91"/>
      <c r="R11" s="91"/>
      <c r="S11" s="91"/>
      <c r="T11" s="91"/>
      <c r="U11" s="91"/>
      <c r="V11" s="104"/>
      <c r="W11" s="7"/>
      <c r="X11" s="7"/>
    </row>
    <row r="12" spans="1:27" ht="11.45" customHeight="1">
      <c r="A12" s="160" t="s">
        <v>215</v>
      </c>
      <c r="B12" s="160"/>
      <c r="C12" s="169"/>
      <c r="D12" s="281">
        <v>3</v>
      </c>
      <c r="E12" s="169"/>
      <c r="F12" s="145">
        <f>Notes!F73</f>
        <v>-153.63887099999999</v>
      </c>
      <c r="G12" s="145"/>
      <c r="H12" s="145">
        <v>-95.4</v>
      </c>
      <c r="I12" s="527"/>
      <c r="J12" s="331">
        <f>+Notes!J73</f>
        <v>-304.73887100000002</v>
      </c>
      <c r="K12" s="527"/>
      <c r="L12" s="145">
        <v>-226.4</v>
      </c>
      <c r="M12" s="172"/>
      <c r="N12" s="145">
        <v>-323.89999999999998</v>
      </c>
      <c r="O12" s="162"/>
      <c r="P12" s="162"/>
      <c r="Q12" s="91"/>
      <c r="R12" s="91"/>
      <c r="S12" s="91"/>
      <c r="T12" s="91"/>
      <c r="U12" s="91"/>
      <c r="V12" s="103"/>
      <c r="W12" s="7"/>
      <c r="X12" s="7"/>
    </row>
    <row r="13" spans="1:27" ht="11.45" customHeight="1">
      <c r="A13" s="160" t="s">
        <v>213</v>
      </c>
      <c r="B13" s="160"/>
      <c r="C13" s="169"/>
      <c r="D13" s="281">
        <v>3</v>
      </c>
      <c r="E13" s="169"/>
      <c r="F13" s="145">
        <f>Notes!F80+Notes!F81</f>
        <v>-27.078999999999997</v>
      </c>
      <c r="G13" s="145"/>
      <c r="H13" s="145">
        <v>-31.9</v>
      </c>
      <c r="I13" s="527"/>
      <c r="J13" s="331">
        <f>+Notes!J80+Notes!J81</f>
        <v>-114.479</v>
      </c>
      <c r="K13" s="527"/>
      <c r="L13" s="145">
        <v>-115</v>
      </c>
      <c r="M13" s="172"/>
      <c r="N13" s="145">
        <v>-157</v>
      </c>
      <c r="O13" s="162"/>
      <c r="P13" s="162"/>
      <c r="Q13" s="91"/>
      <c r="R13" s="91"/>
      <c r="S13" s="91"/>
      <c r="T13" s="91"/>
      <c r="U13" s="91"/>
      <c r="V13" s="103"/>
      <c r="W13" s="7"/>
      <c r="X13" s="7"/>
    </row>
    <row r="14" spans="1:27" ht="11.45" customHeight="1">
      <c r="A14" s="160" t="s">
        <v>214</v>
      </c>
      <c r="B14" s="160"/>
      <c r="C14" s="169"/>
      <c r="D14" s="281">
        <v>3</v>
      </c>
      <c r="E14" s="169"/>
      <c r="F14" s="145">
        <f>Notes!F91</f>
        <v>-28.47222</v>
      </c>
      <c r="G14" s="145"/>
      <c r="H14" s="145">
        <v>0</v>
      </c>
      <c r="I14" s="527"/>
      <c r="J14" s="331">
        <f>+Notes!J91</f>
        <v>-38.372219999999999</v>
      </c>
      <c r="K14" s="527"/>
      <c r="L14" s="145">
        <v>-4.2</v>
      </c>
      <c r="M14" s="172"/>
      <c r="N14" s="145">
        <v>-12</v>
      </c>
      <c r="O14" s="162"/>
      <c r="P14" s="162"/>
      <c r="Q14" s="91"/>
      <c r="R14" s="91"/>
      <c r="S14" s="91"/>
      <c r="T14" s="91"/>
      <c r="U14" s="91"/>
      <c r="V14" s="103"/>
      <c r="W14" s="7"/>
      <c r="X14" s="7"/>
    </row>
    <row r="15" spans="1:27" ht="11.45" customHeight="1">
      <c r="A15" s="160" t="s">
        <v>222</v>
      </c>
      <c r="B15" s="160"/>
      <c r="C15" s="169"/>
      <c r="D15" s="281">
        <v>3</v>
      </c>
      <c r="E15" s="169"/>
      <c r="F15" s="340">
        <f>+Notes!F103</f>
        <v>-12.706</v>
      </c>
      <c r="G15" s="145"/>
      <c r="H15" s="145">
        <v>3.1</v>
      </c>
      <c r="I15" s="172"/>
      <c r="J15" s="145">
        <f>+Notes!J103</f>
        <v>-18.112000000000002</v>
      </c>
      <c r="K15" s="172"/>
      <c r="L15" s="145">
        <v>-2.5</v>
      </c>
      <c r="M15" s="172"/>
      <c r="N15" s="186">
        <v>-0.6</v>
      </c>
      <c r="O15" s="162"/>
      <c r="P15" s="162"/>
      <c r="Q15" s="376"/>
      <c r="R15" s="376"/>
      <c r="S15" s="91"/>
      <c r="T15" s="91"/>
      <c r="U15" s="91"/>
      <c r="V15" s="91"/>
      <c r="W15" s="91"/>
      <c r="X15" s="91">
        <f>Q7-Q9-Q10-Q11</f>
        <v>0</v>
      </c>
      <c r="Y15" s="36"/>
    </row>
    <row r="16" spans="1:27" ht="11.45" customHeight="1">
      <c r="A16" s="166"/>
      <c r="B16" s="166" t="s">
        <v>21</v>
      </c>
      <c r="C16" s="169"/>
      <c r="D16" s="260"/>
      <c r="E16" s="169"/>
      <c r="F16" s="338">
        <f>SUM(F9:F15)</f>
        <v>-320.90309100000002</v>
      </c>
      <c r="G16" s="146"/>
      <c r="H16" s="168">
        <f>SUM(H9:H15)</f>
        <v>-235.5</v>
      </c>
      <c r="I16" s="172"/>
      <c r="J16" s="338">
        <f>SUM(J9:J15)</f>
        <v>-827.30909099999997</v>
      </c>
      <c r="K16" s="172"/>
      <c r="L16" s="168">
        <f>SUM(L9:L15)+0.1</f>
        <v>-697.9</v>
      </c>
      <c r="M16" s="172"/>
      <c r="N16" s="168">
        <f>SUM(N9:N15)</f>
        <v>-944.6</v>
      </c>
      <c r="O16" s="161"/>
      <c r="P16" s="161"/>
      <c r="Q16" s="91"/>
      <c r="R16" s="91"/>
      <c r="S16" s="91"/>
      <c r="T16" s="91"/>
      <c r="U16" s="91"/>
      <c r="V16" s="104"/>
      <c r="W16" s="7"/>
      <c r="X16" s="7"/>
      <c r="Y16" s="17"/>
      <c r="Z16" s="17"/>
      <c r="AA16" s="17"/>
    </row>
    <row r="17" spans="1:27" ht="11.45" customHeight="1">
      <c r="A17" s="184"/>
      <c r="B17" s="169" t="s">
        <v>195</v>
      </c>
      <c r="C17" s="169"/>
      <c r="D17" s="279" t="s">
        <v>0</v>
      </c>
      <c r="E17" s="169"/>
      <c r="F17" s="342">
        <f>F7+F16</f>
        <v>-113.33109100000001</v>
      </c>
      <c r="G17" s="146"/>
      <c r="H17" s="342">
        <f>H7+H16-0.1</f>
        <v>-11.500000000000005</v>
      </c>
      <c r="I17" s="172"/>
      <c r="J17" s="342">
        <f>J7+J16+0.1</f>
        <v>-224.3370909999999</v>
      </c>
      <c r="K17" s="172"/>
      <c r="L17" s="342">
        <f>L7+L16-0.1</f>
        <v>-87.799999999999926</v>
      </c>
      <c r="M17" s="172"/>
      <c r="N17" s="146">
        <f>N7+N16</f>
        <v>-180.30000000000007</v>
      </c>
      <c r="O17" s="161"/>
      <c r="P17" s="146"/>
      <c r="Q17" s="91"/>
      <c r="R17" s="91"/>
      <c r="S17" s="91"/>
      <c r="T17" s="91"/>
      <c r="U17" s="91"/>
      <c r="V17" s="104"/>
      <c r="W17" s="7"/>
      <c r="X17" s="7"/>
      <c r="Y17" s="17"/>
      <c r="Z17" s="17"/>
      <c r="AA17" s="17"/>
    </row>
    <row r="18" spans="1:27" ht="11.45" customHeight="1">
      <c r="A18" s="172" t="s">
        <v>179</v>
      </c>
      <c r="B18" s="172"/>
      <c r="C18" s="169"/>
      <c r="D18" s="279">
        <v>4</v>
      </c>
      <c r="E18" s="169"/>
      <c r="F18" s="342">
        <v>-2.8688899999999999</v>
      </c>
      <c r="G18" s="146"/>
      <c r="H18" s="146">
        <v>2.4</v>
      </c>
      <c r="I18" s="172"/>
      <c r="J18" s="146">
        <f>-4.901+F18</f>
        <v>-7.7698900000000002</v>
      </c>
      <c r="K18" s="172"/>
      <c r="L18" s="146">
        <v>-23.9</v>
      </c>
      <c r="M18" s="172"/>
      <c r="N18" s="146">
        <v>-30.1</v>
      </c>
      <c r="O18" s="161"/>
      <c r="P18" s="146"/>
      <c r="Q18" s="91"/>
      <c r="R18" s="91"/>
      <c r="S18" s="91"/>
      <c r="T18" s="91"/>
      <c r="U18" s="91"/>
      <c r="V18" s="104"/>
      <c r="W18" s="7"/>
      <c r="X18" s="7"/>
      <c r="Y18" s="17"/>
      <c r="Z18" s="17"/>
      <c r="AA18" s="17"/>
    </row>
    <row r="19" spans="1:27" ht="11.45" customHeight="1">
      <c r="A19" s="169" t="s">
        <v>12</v>
      </c>
      <c r="B19" s="169"/>
      <c r="C19" s="169"/>
      <c r="D19" s="279">
        <v>5</v>
      </c>
      <c r="E19" s="169"/>
      <c r="F19" s="342">
        <f>Notes!F117</f>
        <v>-15.643000000000001</v>
      </c>
      <c r="G19" s="146"/>
      <c r="H19" s="146">
        <v>-13.9</v>
      </c>
      <c r="I19" s="172"/>
      <c r="J19" s="146">
        <f>+Notes!J117</f>
        <v>-41.942999999999998</v>
      </c>
      <c r="K19" s="172"/>
      <c r="L19" s="146">
        <v>-31.7</v>
      </c>
      <c r="M19" s="172"/>
      <c r="N19" s="146">
        <v>-46.1</v>
      </c>
      <c r="O19" s="161"/>
      <c r="P19" s="146"/>
      <c r="Q19" s="94"/>
      <c r="R19" s="94"/>
      <c r="S19" s="94"/>
      <c r="T19" s="94"/>
      <c r="U19" s="91"/>
      <c r="V19" s="104"/>
      <c r="W19" s="7"/>
      <c r="X19" s="7"/>
      <c r="Y19" s="17"/>
      <c r="Z19" s="17"/>
      <c r="AA19" s="17"/>
    </row>
    <row r="20" spans="1:27" ht="11.45" customHeight="1">
      <c r="A20" s="263" t="s">
        <v>106</v>
      </c>
      <c r="B20" s="263"/>
      <c r="C20" s="169"/>
      <c r="D20" s="279">
        <v>6</v>
      </c>
      <c r="E20" s="169"/>
      <c r="F20" s="379">
        <f>Notes!F130</f>
        <v>-4.2720000000000002</v>
      </c>
      <c r="G20" s="146"/>
      <c r="H20" s="186">
        <v>-1.2</v>
      </c>
      <c r="I20" s="172"/>
      <c r="J20" s="186">
        <f>+Notes!J130</f>
        <v>-2.5000000000000009</v>
      </c>
      <c r="K20" s="146"/>
      <c r="L20" s="186">
        <v>-0.5</v>
      </c>
      <c r="M20" s="172"/>
      <c r="N20" s="186">
        <v>-6.4</v>
      </c>
      <c r="O20" s="161"/>
      <c r="P20" s="146"/>
      <c r="Q20" s="97"/>
      <c r="R20" s="97"/>
      <c r="S20" s="97"/>
      <c r="T20" s="97"/>
      <c r="U20" s="91"/>
      <c r="V20" s="104"/>
      <c r="W20" s="7"/>
      <c r="X20" s="7"/>
      <c r="Y20" s="17"/>
      <c r="Z20" s="17"/>
      <c r="AA20" s="17"/>
    </row>
    <row r="21" spans="1:27" ht="11.45" customHeight="1">
      <c r="A21" s="160" t="s">
        <v>0</v>
      </c>
      <c r="B21" s="160" t="s">
        <v>194</v>
      </c>
      <c r="C21" s="169"/>
      <c r="D21" s="282"/>
      <c r="E21" s="169"/>
      <c r="F21" s="340">
        <f>SUM(F17:F20)</f>
        <v>-136.114981</v>
      </c>
      <c r="G21" s="146"/>
      <c r="H21" s="146">
        <f>SUM(H17:H20)</f>
        <v>-24.200000000000006</v>
      </c>
      <c r="I21" s="172"/>
      <c r="J21" s="340">
        <f>SUM(J17:J20)-0.1</f>
        <v>-276.64998099999991</v>
      </c>
      <c r="K21" s="172"/>
      <c r="L21" s="146">
        <f>SUM(L17:L20)</f>
        <v>-143.89999999999992</v>
      </c>
      <c r="M21" s="172"/>
      <c r="N21" s="146">
        <f>SUM(N17:N20)+0.1</f>
        <v>-262.8</v>
      </c>
      <c r="O21" s="161"/>
      <c r="P21" s="162"/>
      <c r="Q21" s="92"/>
      <c r="R21" s="92"/>
      <c r="S21" s="92"/>
      <c r="T21" s="92"/>
      <c r="U21" s="91"/>
      <c r="V21" s="27"/>
      <c r="X21" s="91"/>
      <c r="Y21" s="122"/>
      <c r="Z21" s="18"/>
    </row>
    <row r="22" spans="1:27" ht="11.45" customHeight="1">
      <c r="A22" s="263" t="s">
        <v>220</v>
      </c>
      <c r="B22" s="263"/>
      <c r="C22" s="169"/>
      <c r="D22" s="260">
        <v>7</v>
      </c>
      <c r="E22" s="169"/>
      <c r="F22" s="340">
        <f>+Notes!F142</f>
        <v>-53.735999999999997</v>
      </c>
      <c r="G22" s="146"/>
      <c r="H22" s="145">
        <v>-4.8</v>
      </c>
      <c r="I22" s="172"/>
      <c r="J22" s="146">
        <f>+Notes!J142</f>
        <v>-51.917000000000002</v>
      </c>
      <c r="K22" s="172"/>
      <c r="L22" s="186">
        <v>6.2</v>
      </c>
      <c r="M22" s="172"/>
      <c r="N22" s="186">
        <v>-31.2</v>
      </c>
      <c r="O22" s="161"/>
      <c r="P22" s="146"/>
      <c r="Q22" s="97"/>
      <c r="R22" s="97"/>
      <c r="S22" s="97"/>
      <c r="T22" s="97"/>
      <c r="U22" s="91"/>
      <c r="V22" s="27"/>
      <c r="X22" s="94"/>
      <c r="Y22" s="122"/>
      <c r="Z22" s="18"/>
    </row>
    <row r="23" spans="1:27" ht="15.75" customHeight="1" thickBot="1">
      <c r="A23" s="283"/>
      <c r="B23" s="283" t="s">
        <v>165</v>
      </c>
      <c r="C23" s="167"/>
      <c r="D23" s="194"/>
      <c r="E23" s="167"/>
      <c r="F23" s="337">
        <f>+F21+F22</f>
        <v>-189.85098099999999</v>
      </c>
      <c r="G23" s="196"/>
      <c r="H23" s="174">
        <f>+H21+H22</f>
        <v>-29.000000000000007</v>
      </c>
      <c r="I23" s="167"/>
      <c r="J23" s="337">
        <f>+J21+J22</f>
        <v>-328.56698099999994</v>
      </c>
      <c r="K23" s="167"/>
      <c r="L23" s="174">
        <f>+L21+L22</f>
        <v>-137.69999999999993</v>
      </c>
      <c r="M23" s="167"/>
      <c r="N23" s="174">
        <f>+N21+N22+0.1</f>
        <v>-293.89999999999998</v>
      </c>
      <c r="O23" s="196"/>
      <c r="P23" s="144"/>
      <c r="Q23" s="81"/>
      <c r="R23" s="366" t="s">
        <v>0</v>
      </c>
      <c r="S23" s="81"/>
      <c r="T23" s="81" t="s">
        <v>0</v>
      </c>
      <c r="U23" s="94"/>
      <c r="V23" s="22"/>
      <c r="W23" s="7"/>
      <c r="X23" s="7"/>
    </row>
    <row r="24" spans="1:27" s="3" customFormat="1" ht="11.45" customHeight="1">
      <c r="A24" s="167"/>
      <c r="B24" s="167"/>
      <c r="C24" s="167"/>
      <c r="D24" s="194"/>
      <c r="E24" s="167"/>
      <c r="F24" s="341"/>
      <c r="G24" s="196"/>
      <c r="H24" s="144"/>
      <c r="I24" s="167"/>
      <c r="J24" s="167"/>
      <c r="K24" s="167"/>
      <c r="L24" s="167"/>
      <c r="M24" s="167"/>
      <c r="N24" s="144"/>
      <c r="O24" s="196"/>
      <c r="P24" s="144"/>
      <c r="Q24" s="81"/>
      <c r="R24" s="81"/>
      <c r="S24" s="81"/>
      <c r="T24" s="81"/>
      <c r="U24" s="97"/>
      <c r="V24" s="22"/>
    </row>
    <row r="25" spans="1:27" ht="11.45" customHeight="1">
      <c r="A25" s="170" t="s">
        <v>112</v>
      </c>
      <c r="B25" s="160"/>
      <c r="C25" s="169"/>
      <c r="D25" s="281"/>
      <c r="E25" s="169"/>
      <c r="F25" s="340"/>
      <c r="G25" s="162"/>
      <c r="H25" s="145"/>
      <c r="I25" s="169"/>
      <c r="J25" s="169"/>
      <c r="K25" s="169"/>
      <c r="L25" s="169"/>
      <c r="M25" s="169"/>
      <c r="N25" s="145"/>
      <c r="O25" s="162"/>
      <c r="P25" s="162"/>
      <c r="Q25" s="91"/>
      <c r="R25" s="91"/>
      <c r="S25" s="91"/>
      <c r="T25" s="91"/>
      <c r="U25" s="91"/>
      <c r="V25" s="103"/>
      <c r="W25" s="7"/>
      <c r="X25" s="7"/>
    </row>
    <row r="26" spans="1:27" ht="11.45" customHeight="1">
      <c r="A26" s="160"/>
      <c r="B26" s="160" t="s">
        <v>126</v>
      </c>
      <c r="C26" s="169"/>
      <c r="D26" s="281">
        <v>12</v>
      </c>
      <c r="E26" s="169"/>
      <c r="F26" s="339">
        <f>Notes!F258</f>
        <v>12.799999999999999</v>
      </c>
      <c r="G26" s="162"/>
      <c r="H26" s="145">
        <v>-36.700000000000003</v>
      </c>
      <c r="I26" s="169"/>
      <c r="J26" s="145">
        <f>+Notes!J258</f>
        <v>2.5999999999999979</v>
      </c>
      <c r="K26" s="169"/>
      <c r="L26" s="146">
        <v>-46.1</v>
      </c>
      <c r="M26" s="169"/>
      <c r="N26" s="145">
        <v>-32.700000000000003</v>
      </c>
      <c r="O26" s="162"/>
      <c r="P26" s="162"/>
      <c r="Q26" s="91"/>
      <c r="R26" s="91"/>
      <c r="S26" s="91"/>
      <c r="T26" s="91"/>
      <c r="U26" s="91"/>
      <c r="V26" s="103"/>
      <c r="W26" s="7"/>
      <c r="X26" s="7"/>
    </row>
    <row r="27" spans="1:27" ht="11.45" customHeight="1">
      <c r="A27" s="160"/>
      <c r="B27" s="160" t="s">
        <v>159</v>
      </c>
      <c r="C27" s="169"/>
      <c r="D27" s="281">
        <v>12</v>
      </c>
      <c r="E27" s="169"/>
      <c r="F27" s="339">
        <f>Notes!F267</f>
        <v>2.2999999999999998</v>
      </c>
      <c r="G27" s="162"/>
      <c r="H27" s="145">
        <v>-0.2</v>
      </c>
      <c r="I27" s="169"/>
      <c r="J27" s="145">
        <f>+Notes!J267</f>
        <v>4.5</v>
      </c>
      <c r="K27" s="169"/>
      <c r="L27" s="186">
        <v>1.1000000000000001</v>
      </c>
      <c r="M27" s="169"/>
      <c r="N27" s="145">
        <v>-0.9</v>
      </c>
      <c r="O27" s="162"/>
      <c r="P27" s="162"/>
      <c r="Q27" s="91"/>
      <c r="R27" s="91"/>
      <c r="S27" s="91"/>
      <c r="T27" s="91"/>
      <c r="U27" s="91"/>
      <c r="V27" s="103"/>
      <c r="W27" s="7"/>
      <c r="X27" s="7"/>
    </row>
    <row r="28" spans="1:27" ht="11.45" customHeight="1">
      <c r="A28" s="165" t="s">
        <v>127</v>
      </c>
      <c r="B28" s="166"/>
      <c r="C28" s="169"/>
      <c r="D28" s="281"/>
      <c r="E28" s="169"/>
      <c r="F28" s="338">
        <f>SUM(F26:F27)</f>
        <v>15.099999999999998</v>
      </c>
      <c r="G28" s="162"/>
      <c r="H28" s="168">
        <f>SUM(H26:H27)</f>
        <v>-36.900000000000006</v>
      </c>
      <c r="I28" s="169"/>
      <c r="J28" s="338">
        <f>SUM(J26:J27)</f>
        <v>7.0999999999999979</v>
      </c>
      <c r="K28" s="169"/>
      <c r="L28" s="168">
        <f>SUM(L26:L27)</f>
        <v>-45</v>
      </c>
      <c r="M28" s="169"/>
      <c r="N28" s="168">
        <f>SUM(N26:N27)</f>
        <v>-33.6</v>
      </c>
      <c r="O28" s="162"/>
      <c r="P28" s="162"/>
      <c r="Q28" s="91"/>
      <c r="R28" s="91"/>
      <c r="S28" s="91"/>
      <c r="T28" s="91"/>
      <c r="U28" s="91"/>
      <c r="V28" s="103"/>
      <c r="W28" s="7"/>
      <c r="X28" s="7"/>
    </row>
    <row r="29" spans="1:27" ht="15.75" customHeight="1" thickBot="1">
      <c r="A29" s="283" t="s">
        <v>88</v>
      </c>
      <c r="B29" s="283"/>
      <c r="C29" s="167"/>
      <c r="D29" s="194"/>
      <c r="E29" s="167"/>
      <c r="F29" s="337">
        <f>F23+F28</f>
        <v>-174.750981</v>
      </c>
      <c r="G29" s="196"/>
      <c r="H29" s="174">
        <f>H23+H28</f>
        <v>-65.900000000000006</v>
      </c>
      <c r="I29" s="167"/>
      <c r="J29" s="337">
        <f>J23+J28</f>
        <v>-321.46698099999992</v>
      </c>
      <c r="K29" s="167"/>
      <c r="L29" s="174">
        <f>L23+L28</f>
        <v>-182.69999999999993</v>
      </c>
      <c r="M29" s="167"/>
      <c r="N29" s="174">
        <f>N23+N28</f>
        <v>-327.5</v>
      </c>
      <c r="O29" s="196"/>
      <c r="P29" s="144"/>
      <c r="Q29" s="91"/>
      <c r="R29" s="91"/>
      <c r="S29" s="91"/>
      <c r="T29" s="91"/>
      <c r="U29" s="91"/>
      <c r="V29" s="103"/>
      <c r="W29" s="7"/>
      <c r="X29" s="7"/>
    </row>
    <row r="30" spans="1:27" s="3" customFormat="1">
      <c r="A30" s="38"/>
      <c r="B30" s="14"/>
      <c r="C30" s="14"/>
      <c r="D30" s="32"/>
      <c r="E30" s="14"/>
      <c r="F30" s="112"/>
      <c r="G30" s="82"/>
      <c r="H30" s="28"/>
      <c r="I30" s="14"/>
      <c r="J30" s="14"/>
      <c r="K30" s="14"/>
      <c r="L30" s="14"/>
      <c r="M30" s="14"/>
      <c r="N30" s="82"/>
      <c r="O30" s="28"/>
      <c r="P30" s="28"/>
      <c r="Q30" s="20"/>
      <c r="R30" s="20"/>
      <c r="S30" s="20"/>
      <c r="T30" s="20"/>
      <c r="U30" s="81"/>
      <c r="V30" s="22"/>
    </row>
    <row r="31" spans="1:27" s="3" customFormat="1" ht="13.5" customHeight="1">
      <c r="A31" s="38"/>
      <c r="B31" s="14"/>
      <c r="C31" s="14"/>
      <c r="D31" s="32"/>
      <c r="E31" s="14"/>
      <c r="F31" s="112"/>
      <c r="G31" s="82"/>
      <c r="H31" s="28"/>
      <c r="I31" s="14"/>
      <c r="J31" s="14"/>
      <c r="K31" s="14"/>
      <c r="L31" s="14"/>
      <c r="M31" s="14"/>
      <c r="N31" s="82"/>
      <c r="O31" s="28"/>
      <c r="P31" s="28"/>
      <c r="Q31" s="20"/>
      <c r="R31" s="20"/>
      <c r="S31" s="20"/>
      <c r="T31" s="20"/>
      <c r="U31" s="81"/>
      <c r="V31" s="22"/>
    </row>
    <row r="32" spans="1:27" s="3" customFormat="1">
      <c r="A32" s="14"/>
      <c r="B32" s="14"/>
      <c r="C32" s="16"/>
      <c r="D32" s="32"/>
      <c r="E32" s="16"/>
      <c r="F32" s="15"/>
      <c r="G32" s="15"/>
      <c r="H32" s="15"/>
      <c r="I32" s="16"/>
      <c r="J32" s="16"/>
      <c r="K32" s="16"/>
      <c r="L32" s="16"/>
      <c r="M32" s="16"/>
      <c r="N32" s="15"/>
      <c r="O32" s="15"/>
      <c r="P32" s="15"/>
      <c r="Q32" s="15"/>
      <c r="R32" s="15"/>
      <c r="S32" s="15"/>
      <c r="T32" s="15"/>
      <c r="U32" s="15"/>
      <c r="V32" s="15"/>
    </row>
    <row r="33" spans="1:25" s="3" customFormat="1">
      <c r="A33" s="14"/>
      <c r="B33" s="14"/>
      <c r="C33" s="16"/>
      <c r="D33" s="32"/>
      <c r="E33" s="16"/>
      <c r="F33" s="15"/>
      <c r="G33" s="15"/>
      <c r="H33" s="15"/>
      <c r="I33" s="16"/>
      <c r="J33" s="16"/>
      <c r="K33" s="16"/>
      <c r="L33" s="16"/>
      <c r="M33" s="16"/>
      <c r="N33" s="15"/>
      <c r="O33" s="15"/>
      <c r="P33" s="15"/>
      <c r="Q33" s="15"/>
      <c r="R33" s="15"/>
      <c r="S33" s="15"/>
      <c r="T33" s="15"/>
      <c r="U33" s="15"/>
      <c r="V33" s="15"/>
    </row>
    <row r="34" spans="1:25" s="3" customFormat="1">
      <c r="A34" s="14"/>
      <c r="B34" s="14"/>
      <c r="C34" s="16"/>
      <c r="D34" s="32"/>
      <c r="E34" s="16"/>
      <c r="F34" s="15"/>
      <c r="G34" s="15"/>
      <c r="H34" s="15"/>
      <c r="I34" s="16"/>
      <c r="J34" s="16"/>
      <c r="K34" s="16"/>
      <c r="L34" s="16"/>
      <c r="M34" s="16"/>
      <c r="N34" s="15"/>
      <c r="O34" s="15"/>
      <c r="P34" s="15"/>
      <c r="Q34" s="15"/>
      <c r="R34" s="15"/>
      <c r="S34" s="15"/>
      <c r="T34" s="15"/>
      <c r="U34" s="15"/>
      <c r="V34" s="15"/>
    </row>
    <row r="35" spans="1:25" s="3" customFormat="1">
      <c r="A35" s="14"/>
      <c r="B35" s="14"/>
      <c r="C35" s="16"/>
      <c r="D35" s="32"/>
      <c r="E35" s="16"/>
      <c r="F35" s="15"/>
      <c r="G35" s="15"/>
      <c r="H35" s="15"/>
      <c r="I35" s="16"/>
      <c r="J35" s="16"/>
      <c r="K35" s="16"/>
      <c r="L35" s="16"/>
      <c r="M35" s="16"/>
      <c r="N35" s="15"/>
      <c r="O35" s="15"/>
      <c r="P35" s="15"/>
      <c r="Q35" s="15"/>
      <c r="R35" s="15"/>
      <c r="S35" s="15"/>
      <c r="T35" s="15"/>
      <c r="U35" s="15"/>
      <c r="V35" s="15"/>
    </row>
    <row r="36" spans="1:25" s="3" customFormat="1">
      <c r="A36" s="14"/>
      <c r="B36" s="14"/>
      <c r="C36" s="16"/>
      <c r="D36" s="32"/>
      <c r="E36" s="16"/>
      <c r="F36" s="15"/>
      <c r="G36" s="15"/>
      <c r="H36" s="15"/>
      <c r="I36" s="16"/>
      <c r="J36" s="16"/>
      <c r="K36" s="16"/>
      <c r="L36" s="16"/>
      <c r="M36" s="16"/>
      <c r="N36" s="15"/>
      <c r="O36" s="15"/>
      <c r="P36" s="15"/>
      <c r="Q36" s="15"/>
      <c r="R36" s="15"/>
      <c r="S36" s="15"/>
      <c r="T36" s="15"/>
      <c r="U36" s="15"/>
      <c r="V36" s="15"/>
    </row>
    <row r="37" spans="1:25" s="3" customFormat="1">
      <c r="A37" s="14"/>
      <c r="B37" s="14"/>
      <c r="C37" s="16"/>
      <c r="D37" s="32"/>
      <c r="E37" s="16"/>
      <c r="F37" s="15"/>
      <c r="G37" s="15"/>
      <c r="H37" s="15"/>
      <c r="I37" s="16"/>
      <c r="J37" s="16"/>
      <c r="K37" s="16"/>
      <c r="L37" s="16"/>
      <c r="M37" s="16"/>
      <c r="N37" s="15"/>
      <c r="O37" s="15"/>
      <c r="P37" s="15"/>
      <c r="Q37" s="15"/>
      <c r="R37" s="15"/>
      <c r="S37" s="15"/>
      <c r="T37" s="15"/>
      <c r="U37" s="15"/>
      <c r="V37" s="15"/>
    </row>
    <row r="38" spans="1:25" s="3" customFormat="1">
      <c r="A38" s="14"/>
      <c r="B38" s="5"/>
      <c r="C38" s="16"/>
      <c r="D38" s="32"/>
      <c r="E38" s="16"/>
      <c r="F38" s="15"/>
      <c r="G38" s="15"/>
      <c r="H38" s="15"/>
      <c r="I38" s="16"/>
      <c r="J38" s="16"/>
      <c r="K38" s="16"/>
      <c r="L38" s="16"/>
      <c r="M38" s="16"/>
      <c r="N38" s="15"/>
      <c r="O38" s="15"/>
      <c r="P38" s="15"/>
      <c r="Q38" s="15"/>
      <c r="R38" s="15"/>
      <c r="S38" s="15"/>
      <c r="T38" s="15"/>
      <c r="U38" s="15"/>
      <c r="V38" s="15"/>
    </row>
    <row r="39" spans="1:25" s="3" customFormat="1">
      <c r="A39" s="14"/>
      <c r="B39" s="14"/>
      <c r="C39" s="16"/>
      <c r="D39" s="32"/>
      <c r="E39" s="16"/>
      <c r="F39" s="15"/>
      <c r="G39" s="15"/>
      <c r="H39" s="15"/>
      <c r="I39" s="16"/>
      <c r="J39" s="16"/>
      <c r="K39" s="16"/>
      <c r="L39" s="16"/>
      <c r="M39" s="16"/>
      <c r="N39" s="15"/>
      <c r="O39" s="15"/>
      <c r="P39" s="15"/>
      <c r="Q39" s="15"/>
      <c r="R39" s="15"/>
      <c r="S39" s="15"/>
      <c r="T39" s="15"/>
      <c r="U39" s="15"/>
      <c r="V39" s="15"/>
    </row>
    <row r="40" spans="1:25" s="3" customFormat="1">
      <c r="A40" s="14"/>
      <c r="B40" s="14"/>
      <c r="C40" s="16"/>
      <c r="D40" s="32"/>
      <c r="E40" s="16"/>
      <c r="F40" s="15"/>
      <c r="G40" s="15"/>
      <c r="H40" s="15"/>
      <c r="I40" s="16"/>
      <c r="J40" s="16"/>
      <c r="K40" s="16"/>
      <c r="L40" s="16"/>
      <c r="M40" s="16"/>
      <c r="N40" s="15"/>
      <c r="O40" s="15"/>
      <c r="P40" s="15"/>
      <c r="Q40" s="15"/>
      <c r="R40" s="15"/>
      <c r="S40" s="15"/>
      <c r="T40" s="15"/>
      <c r="U40" s="15"/>
      <c r="V40" s="15"/>
    </row>
    <row r="41" spans="1:25" s="3" customFormat="1">
      <c r="A41" s="14"/>
      <c r="B41" s="14"/>
      <c r="C41" s="16"/>
      <c r="D41" s="32"/>
      <c r="E41" s="16"/>
      <c r="F41" s="15"/>
      <c r="G41" s="15"/>
      <c r="H41" s="15"/>
      <c r="I41" s="16"/>
      <c r="J41" s="16"/>
      <c r="K41" s="16"/>
      <c r="L41" s="16"/>
      <c r="M41" s="16"/>
      <c r="N41" s="15"/>
      <c r="O41" s="15"/>
      <c r="P41" s="15"/>
      <c r="Q41" s="15"/>
      <c r="R41" s="15"/>
      <c r="S41" s="11"/>
      <c r="T41" s="11"/>
      <c r="U41" s="15"/>
      <c r="V41" s="15"/>
    </row>
    <row r="42" spans="1:25" s="3" customFormat="1">
      <c r="A42" s="14"/>
      <c r="B42" s="14"/>
      <c r="C42" s="16"/>
      <c r="D42" s="32"/>
      <c r="E42" s="16"/>
      <c r="F42" s="15"/>
      <c r="G42" s="15"/>
      <c r="H42" s="15"/>
      <c r="I42" s="16"/>
      <c r="J42" s="16"/>
      <c r="K42" s="16"/>
      <c r="L42" s="16"/>
      <c r="M42" s="16"/>
      <c r="N42" s="15"/>
      <c r="O42" s="15"/>
      <c r="P42" s="15"/>
      <c r="Q42" s="15"/>
      <c r="R42" s="15"/>
      <c r="S42" s="11"/>
      <c r="T42" s="11"/>
      <c r="U42" s="15"/>
      <c r="V42" s="15"/>
    </row>
    <row r="43" spans="1:25" s="3" customFormat="1">
      <c r="A43" s="14"/>
      <c r="B43" s="14"/>
      <c r="C43" s="16"/>
      <c r="D43" s="32"/>
      <c r="E43" s="16"/>
      <c r="F43" s="15"/>
      <c r="G43" s="15"/>
      <c r="H43" s="15"/>
      <c r="I43" s="16"/>
      <c r="J43" s="16"/>
      <c r="K43" s="16"/>
      <c r="L43" s="16"/>
      <c r="M43" s="16"/>
      <c r="N43" s="15"/>
      <c r="O43" s="15"/>
      <c r="P43" s="15"/>
      <c r="Q43" s="15"/>
      <c r="R43" s="15"/>
      <c r="S43" s="11"/>
      <c r="T43" s="11"/>
      <c r="U43" s="15"/>
      <c r="V43" s="15"/>
    </row>
    <row r="44" spans="1:25" s="3" customFormat="1">
      <c r="A44" s="14"/>
      <c r="B44" s="14"/>
      <c r="C44" s="16"/>
      <c r="D44" s="32"/>
      <c r="E44" s="16"/>
      <c r="F44" s="15"/>
      <c r="G44" s="15"/>
      <c r="H44" s="15"/>
      <c r="I44" s="16"/>
      <c r="J44" s="16"/>
      <c r="K44" s="16"/>
      <c r="L44" s="16"/>
      <c r="M44" s="16"/>
      <c r="N44" s="15"/>
      <c r="O44" s="15"/>
      <c r="P44" s="15"/>
      <c r="Q44" s="15"/>
      <c r="R44" s="15"/>
      <c r="S44" s="11"/>
      <c r="T44" s="11"/>
      <c r="U44" s="15"/>
      <c r="V44" s="15"/>
    </row>
    <row r="45" spans="1:25" s="3" customFormat="1">
      <c r="A45" s="1"/>
      <c r="B45" s="4"/>
      <c r="C45" s="4"/>
      <c r="D45" s="4"/>
      <c r="E45" s="4"/>
      <c r="F45" s="13"/>
      <c r="G45" s="11"/>
      <c r="H45" s="11"/>
      <c r="I45" s="4"/>
      <c r="J45" s="4"/>
      <c r="K45" s="4"/>
      <c r="L45" s="4"/>
      <c r="M45" s="4"/>
      <c r="N45" s="11"/>
      <c r="O45" s="11"/>
      <c r="P45" s="11"/>
      <c r="Q45" s="11"/>
      <c r="R45" s="11"/>
      <c r="S45" s="11"/>
      <c r="T45" s="11"/>
      <c r="U45" s="11"/>
      <c r="V45" s="15"/>
      <c r="Y45" s="118"/>
    </row>
    <row r="46" spans="1:25">
      <c r="F46" s="13"/>
      <c r="G46" s="11"/>
      <c r="H46" s="11"/>
      <c r="N46" s="11"/>
      <c r="O46" s="11"/>
      <c r="P46" s="11"/>
      <c r="Q46" s="11"/>
      <c r="R46" s="11"/>
      <c r="S46" s="11"/>
      <c r="T46" s="11"/>
      <c r="U46" s="11"/>
      <c r="V46" s="13"/>
      <c r="Y46" s="36"/>
    </row>
    <row r="47" spans="1:25">
      <c r="A47" s="25"/>
      <c r="B47" s="26"/>
      <c r="D47" s="26"/>
      <c r="F47" s="13"/>
      <c r="G47" s="11"/>
      <c r="H47" s="11"/>
      <c r="N47" s="11"/>
      <c r="O47" s="11"/>
      <c r="P47" s="11"/>
      <c r="Q47" s="11"/>
      <c r="R47" s="11"/>
      <c r="S47" s="11"/>
      <c r="T47" s="11"/>
      <c r="U47" s="11"/>
      <c r="V47" s="13"/>
    </row>
    <row r="48" spans="1:25">
      <c r="F48" s="13"/>
      <c r="G48" s="11"/>
      <c r="H48" s="11"/>
      <c r="N48" s="11"/>
      <c r="O48" s="11"/>
      <c r="P48" s="11"/>
      <c r="Q48" s="11"/>
      <c r="R48" s="11"/>
      <c r="S48" s="11"/>
      <c r="T48" s="11"/>
      <c r="U48" s="11"/>
      <c r="V48" s="13"/>
    </row>
    <row r="49" spans="6:22">
      <c r="F49" s="13"/>
      <c r="G49" s="11"/>
      <c r="H49" s="11"/>
      <c r="N49" s="11"/>
      <c r="O49" s="11"/>
      <c r="P49" s="11"/>
      <c r="Q49" s="11"/>
      <c r="R49" s="11"/>
      <c r="S49" s="11"/>
      <c r="T49" s="11"/>
      <c r="U49" s="11"/>
      <c r="V49" s="13"/>
    </row>
    <row r="50" spans="6:22">
      <c r="F50" s="13"/>
      <c r="G50" s="11"/>
      <c r="H50" s="11"/>
      <c r="N50" s="11"/>
      <c r="O50" s="11"/>
      <c r="P50" s="11"/>
      <c r="Q50" s="11"/>
      <c r="R50" s="11"/>
      <c r="S50" s="11"/>
      <c r="T50" s="11"/>
      <c r="U50" s="11"/>
      <c r="V50" s="13"/>
    </row>
    <row r="51" spans="6:22">
      <c r="F51" s="13"/>
      <c r="G51" s="11"/>
      <c r="H51" s="11"/>
      <c r="N51" s="11"/>
      <c r="O51" s="11"/>
      <c r="P51" s="11"/>
      <c r="Q51" s="11"/>
      <c r="R51" s="11"/>
      <c r="S51" s="11"/>
      <c r="T51" s="11"/>
      <c r="U51" s="11"/>
      <c r="V51" s="13"/>
    </row>
    <row r="52" spans="6:22">
      <c r="F52" s="13"/>
      <c r="G52" s="11"/>
      <c r="H52" s="11"/>
      <c r="N52" s="11"/>
      <c r="O52" s="11"/>
      <c r="P52" s="11"/>
      <c r="Q52" s="11"/>
      <c r="R52" s="11"/>
      <c r="S52" s="11"/>
      <c r="T52" s="11"/>
      <c r="U52" s="11"/>
      <c r="V52" s="13"/>
    </row>
    <row r="53" spans="6:22">
      <c r="F53" s="13"/>
      <c r="G53" s="11"/>
      <c r="H53" s="11"/>
      <c r="N53" s="11"/>
      <c r="O53" s="11"/>
      <c r="P53" s="11"/>
      <c r="Q53" s="11"/>
      <c r="R53" s="11"/>
      <c r="S53" s="11"/>
      <c r="T53" s="11"/>
      <c r="U53" s="11"/>
      <c r="V53" s="13"/>
    </row>
    <row r="54" spans="6:22">
      <c r="F54" s="13"/>
      <c r="G54" s="11"/>
      <c r="H54" s="11"/>
      <c r="N54" s="11"/>
      <c r="O54" s="11"/>
      <c r="P54" s="11"/>
      <c r="Q54" s="11"/>
      <c r="R54" s="11"/>
      <c r="S54" s="11"/>
      <c r="T54" s="11"/>
      <c r="U54" s="11"/>
      <c r="V54" s="13"/>
    </row>
    <row r="55" spans="6:22">
      <c r="F55" s="13"/>
      <c r="G55" s="11"/>
      <c r="H55" s="11"/>
      <c r="N55" s="11"/>
      <c r="O55" s="11"/>
      <c r="P55" s="11"/>
      <c r="Q55" s="11"/>
      <c r="R55" s="11"/>
      <c r="S55" s="11"/>
      <c r="T55" s="11"/>
      <c r="U55" s="11"/>
      <c r="V55" s="13"/>
    </row>
    <row r="56" spans="6:22">
      <c r="F56" s="13"/>
      <c r="G56" s="11"/>
      <c r="H56" s="11"/>
      <c r="N56" s="11"/>
      <c r="O56" s="11"/>
      <c r="P56" s="11"/>
      <c r="Q56" s="11"/>
      <c r="R56" s="11"/>
      <c r="S56" s="11"/>
      <c r="T56" s="11"/>
      <c r="U56" s="11"/>
      <c r="V56" s="13"/>
    </row>
    <row r="57" spans="6:22">
      <c r="F57" s="13"/>
      <c r="G57" s="11"/>
      <c r="H57" s="11"/>
      <c r="N57" s="11"/>
      <c r="O57" s="11"/>
      <c r="P57" s="11"/>
      <c r="Q57" s="11"/>
      <c r="R57" s="11"/>
      <c r="S57" s="11"/>
      <c r="T57" s="11"/>
      <c r="U57" s="11"/>
      <c r="V57" s="13"/>
    </row>
    <row r="58" spans="6:22">
      <c r="F58" s="13"/>
      <c r="G58" s="11"/>
      <c r="H58" s="11"/>
      <c r="N58" s="11"/>
      <c r="O58" s="11"/>
      <c r="P58" s="11"/>
      <c r="Q58" s="11"/>
      <c r="R58" s="11"/>
      <c r="S58" s="11"/>
      <c r="T58" s="11"/>
      <c r="U58" s="11"/>
      <c r="V58" s="13"/>
    </row>
    <row r="59" spans="6:22">
      <c r="F59" s="13"/>
      <c r="G59" s="11"/>
      <c r="H59" s="11"/>
      <c r="N59" s="11"/>
      <c r="O59" s="11"/>
      <c r="P59" s="11"/>
      <c r="Q59" s="11"/>
      <c r="R59" s="11"/>
      <c r="S59" s="11"/>
      <c r="T59" s="11"/>
      <c r="U59" s="11"/>
      <c r="V59" s="13"/>
    </row>
    <row r="60" spans="6:22">
      <c r="G60" s="11"/>
      <c r="H60" s="11"/>
      <c r="N60" s="11"/>
      <c r="O60" s="11"/>
      <c r="P60" s="11"/>
      <c r="Q60" s="11"/>
      <c r="R60" s="11"/>
      <c r="S60" s="11"/>
      <c r="T60" s="11"/>
      <c r="U60" s="11"/>
      <c r="V60" s="13"/>
    </row>
    <row r="61" spans="6:22">
      <c r="F61" s="13"/>
      <c r="G61" s="11"/>
      <c r="H61" s="11"/>
      <c r="N61" s="11"/>
      <c r="O61" s="11"/>
      <c r="P61" s="11"/>
      <c r="Q61" s="11"/>
      <c r="R61" s="11"/>
      <c r="S61" s="10"/>
      <c r="T61" s="10"/>
      <c r="U61" s="11"/>
      <c r="V61" s="13"/>
    </row>
    <row r="62" spans="6:22">
      <c r="F62" s="13"/>
      <c r="G62" s="11"/>
      <c r="H62" s="11"/>
      <c r="N62" s="11"/>
      <c r="O62" s="11"/>
      <c r="P62" s="11"/>
      <c r="Q62" s="11"/>
      <c r="R62" s="11"/>
      <c r="S62" s="10"/>
      <c r="T62" s="10"/>
      <c r="U62" s="11"/>
      <c r="V62" s="13"/>
    </row>
    <row r="63" spans="6:22">
      <c r="F63" s="13"/>
      <c r="G63" s="11"/>
      <c r="H63" s="11"/>
      <c r="N63" s="11"/>
      <c r="O63" s="11"/>
      <c r="P63" s="11"/>
      <c r="Q63" s="11"/>
      <c r="R63" s="11"/>
      <c r="U63" s="11"/>
      <c r="V63" s="13"/>
    </row>
    <row r="64" spans="6:22">
      <c r="F64" s="13"/>
      <c r="G64" s="11"/>
      <c r="H64" s="11"/>
      <c r="N64" s="11"/>
      <c r="O64" s="11"/>
      <c r="P64" s="11"/>
      <c r="Q64" s="11"/>
      <c r="R64" s="11"/>
      <c r="U64" s="11"/>
      <c r="V64" s="13"/>
    </row>
    <row r="65" spans="6:22">
      <c r="F65" s="10"/>
      <c r="H65" s="10"/>
      <c r="O65" s="10"/>
      <c r="P65" s="10"/>
      <c r="Q65" s="10"/>
      <c r="R65" s="10"/>
      <c r="U65" s="10"/>
      <c r="V65" s="13"/>
    </row>
    <row r="66" spans="6:22">
      <c r="F66" s="10"/>
      <c r="H66" s="10"/>
      <c r="O66" s="10"/>
      <c r="P66" s="10"/>
      <c r="Q66" s="10"/>
      <c r="R66" s="10"/>
      <c r="U66" s="10"/>
    </row>
  </sheetData>
  <mergeCells count="4">
    <mergeCell ref="A1:P1"/>
    <mergeCell ref="F3:H3"/>
    <mergeCell ref="F4:H4"/>
    <mergeCell ref="N3:N4"/>
  </mergeCells>
  <phoneticPr fontId="0" type="noConversion"/>
  <printOptions horizontalCentered="1"/>
  <pageMargins left="0.51181102362204722" right="0.23622047244094491" top="0.39370078740157483" bottom="0.47244094488188981" header="0.31496062992125984" footer="0.23622047244094491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C52"/>
  <sheetViews>
    <sheetView showGridLines="0" zoomScaleNormal="100" workbookViewId="0">
      <selection sqref="A1:K1"/>
    </sheetView>
  </sheetViews>
  <sheetFormatPr defaultColWidth="11.7109375" defaultRowHeight="12.75"/>
  <cols>
    <col min="1" max="1" width="2.5703125" customWidth="1"/>
    <col min="2" max="2" width="2.7109375" customWidth="1"/>
    <col min="3" max="3" width="54" customWidth="1"/>
    <col min="4" max="4" width="1.5703125" customWidth="1"/>
    <col min="5" max="5" width="5.7109375" style="33" customWidth="1"/>
    <col min="6" max="6" width="1.5703125" customWidth="1"/>
    <col min="7" max="7" width="12.28515625" customWidth="1"/>
    <col min="8" max="8" width="1.140625" style="21" customWidth="1"/>
    <col min="9" max="9" width="12.140625" style="21" customWidth="1"/>
    <col min="10" max="10" width="3" style="21" customWidth="1"/>
    <col min="11" max="11" width="12.5703125" style="21" customWidth="1"/>
    <col min="12" max="12" width="0.5703125" style="86" customWidth="1"/>
    <col min="13" max="13" width="12.28515625" style="86" customWidth="1"/>
    <col min="14" max="14" width="8.5703125" style="86" customWidth="1"/>
    <col min="15" max="15" width="7.7109375" style="21" customWidth="1"/>
    <col min="16" max="16" width="5.5703125" style="29" customWidth="1"/>
    <col min="17" max="17" width="6.140625" style="29" customWidth="1"/>
    <col min="18" max="18" width="13.42578125" style="30" customWidth="1"/>
    <col min="19" max="19" width="6" style="30" customWidth="1"/>
    <col min="20" max="20" width="13.42578125" style="109" customWidth="1"/>
    <col min="21" max="21" width="12.7109375" style="30" customWidth="1"/>
    <col min="22" max="37" width="11.7109375" style="30" customWidth="1"/>
    <col min="38" max="55" width="11.7109375" style="30"/>
  </cols>
  <sheetData>
    <row r="1" spans="1:55" s="1" customFormat="1" ht="18.75">
      <c r="A1" s="544" t="s">
        <v>90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100"/>
      <c r="M1" s="100"/>
      <c r="N1" s="100"/>
      <c r="O1" s="100"/>
      <c r="P1" s="100"/>
      <c r="Q1" s="100"/>
      <c r="R1" s="100"/>
      <c r="S1" s="9"/>
      <c r="T1" s="108"/>
      <c r="U1" s="8"/>
      <c r="V1" s="8"/>
      <c r="W1" s="8"/>
      <c r="X1" s="118"/>
      <c r="Y1" s="8"/>
      <c r="Z1" s="8"/>
      <c r="AA1" s="8"/>
    </row>
    <row r="2" spans="1:55" s="1" customFormat="1" ht="11.25" customHeight="1" thickBot="1">
      <c r="A2" s="176"/>
      <c r="B2" s="176"/>
      <c r="C2" s="176"/>
      <c r="D2" s="176"/>
      <c r="E2" s="176"/>
      <c r="F2" s="190"/>
      <c r="G2" s="190"/>
      <c r="H2" s="191"/>
      <c r="I2" s="80"/>
      <c r="J2" s="286"/>
      <c r="K2" s="121"/>
      <c r="L2" s="285"/>
      <c r="M2" s="80"/>
      <c r="N2" s="80"/>
      <c r="O2" s="19"/>
      <c r="P2" s="110"/>
      <c r="Q2" s="8"/>
      <c r="R2" s="8"/>
      <c r="S2" s="8"/>
      <c r="T2" s="118"/>
      <c r="U2" s="8"/>
      <c r="V2" s="8"/>
      <c r="W2" s="8"/>
    </row>
    <row r="3" spans="1:55" ht="11.45" customHeight="1">
      <c r="A3" s="288"/>
      <c r="B3" s="288"/>
      <c r="C3" s="288"/>
      <c r="D3" s="289"/>
      <c r="E3" s="288"/>
      <c r="F3" s="289"/>
      <c r="G3" s="545" t="s">
        <v>249</v>
      </c>
      <c r="H3" s="545"/>
      <c r="I3" s="545"/>
      <c r="J3" s="296"/>
      <c r="K3" s="370" t="s">
        <v>1</v>
      </c>
      <c r="L3" s="482"/>
      <c r="M3" s="29"/>
      <c r="N3" s="30"/>
      <c r="O3" s="30"/>
      <c r="P3" s="109"/>
      <c r="Q3" s="30"/>
      <c r="T3" s="30"/>
      <c r="AZ3"/>
      <c r="BA3"/>
      <c r="BB3"/>
      <c r="BC3"/>
    </row>
    <row r="4" spans="1:55" s="6" customFormat="1" ht="17.25" customHeight="1" thickBot="1">
      <c r="A4" s="290" t="s">
        <v>99</v>
      </c>
      <c r="B4" s="291"/>
      <c r="C4" s="291"/>
      <c r="D4" s="289"/>
      <c r="E4" s="291" t="s">
        <v>36</v>
      </c>
      <c r="F4" s="289"/>
      <c r="G4" s="292">
        <v>2017</v>
      </c>
      <c r="H4" s="288"/>
      <c r="I4" s="292">
        <v>2016</v>
      </c>
      <c r="J4" s="293"/>
      <c r="K4" s="292">
        <v>2016</v>
      </c>
      <c r="M4" s="30"/>
      <c r="N4" s="109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</row>
    <row r="5" spans="1:55" s="30" customFormat="1" ht="11.45" customHeight="1">
      <c r="A5" s="294"/>
      <c r="B5" s="288"/>
      <c r="C5" s="288"/>
      <c r="D5" s="289"/>
      <c r="E5" s="288"/>
      <c r="F5" s="289"/>
      <c r="G5" s="293"/>
      <c r="H5" s="288"/>
      <c r="I5" s="293"/>
      <c r="K5" s="29"/>
      <c r="N5" s="125"/>
    </row>
    <row r="6" spans="1:55" ht="11.45" customHeight="1">
      <c r="A6" s="294" t="s">
        <v>11</v>
      </c>
      <c r="B6" s="295"/>
      <c r="C6" s="295"/>
      <c r="D6" s="296"/>
      <c r="E6" s="295"/>
      <c r="F6" s="296"/>
      <c r="G6" s="297"/>
      <c r="H6" s="298"/>
      <c r="I6" s="297"/>
      <c r="K6" s="29"/>
      <c r="L6" s="30"/>
      <c r="M6" s="30"/>
      <c r="N6" s="109"/>
      <c r="O6" s="30"/>
      <c r="P6" s="30"/>
      <c r="Q6" s="30"/>
      <c r="T6" s="30"/>
      <c r="AX6"/>
      <c r="AY6"/>
      <c r="AZ6"/>
      <c r="BA6"/>
      <c r="BB6"/>
      <c r="BC6"/>
    </row>
    <row r="7" spans="1:55" ht="11.45" customHeight="1">
      <c r="A7" s="299"/>
      <c r="B7" s="299" t="s">
        <v>2</v>
      </c>
      <c r="C7" s="300"/>
      <c r="D7" s="300"/>
      <c r="E7" s="301">
        <v>10</v>
      </c>
      <c r="F7" s="300"/>
      <c r="G7" s="303">
        <v>24.175999999999998</v>
      </c>
      <c r="H7" s="302"/>
      <c r="I7" s="302">
        <v>77.3</v>
      </c>
      <c r="J7" s="86"/>
      <c r="K7" s="302">
        <v>61.7</v>
      </c>
      <c r="L7" s="302"/>
      <c r="M7" s="29"/>
      <c r="N7" s="30"/>
      <c r="O7" s="30"/>
      <c r="P7" s="109"/>
      <c r="Q7" s="30"/>
      <c r="T7" s="30"/>
      <c r="AZ7"/>
      <c r="BA7"/>
      <c r="BB7"/>
      <c r="BC7"/>
    </row>
    <row r="8" spans="1:55" ht="11.45" customHeight="1">
      <c r="A8" s="299"/>
      <c r="B8" s="300" t="s">
        <v>13</v>
      </c>
      <c r="C8" s="300"/>
      <c r="D8" s="300"/>
      <c r="E8" s="301">
        <v>10</v>
      </c>
      <c r="F8" s="300"/>
      <c r="G8" s="303">
        <v>20.411000000000001</v>
      </c>
      <c r="H8" s="302"/>
      <c r="I8" s="302">
        <v>13.8</v>
      </c>
      <c r="J8" s="86"/>
      <c r="K8" s="302">
        <v>32.299999999999997</v>
      </c>
      <c r="L8" s="302"/>
      <c r="M8" s="29"/>
      <c r="N8" s="30"/>
      <c r="O8" s="30"/>
      <c r="P8" s="109"/>
      <c r="Q8" s="30"/>
      <c r="T8" s="30"/>
      <c r="AZ8"/>
      <c r="BA8"/>
      <c r="BB8"/>
      <c r="BC8"/>
    </row>
    <row r="9" spans="1:55" ht="11.45" customHeight="1">
      <c r="A9" s="304"/>
      <c r="B9" s="300" t="s">
        <v>29</v>
      </c>
      <c r="C9" s="300"/>
      <c r="D9" s="300"/>
      <c r="E9" s="288"/>
      <c r="F9" s="300"/>
      <c r="G9" s="303">
        <v>121.914</v>
      </c>
      <c r="H9" s="302"/>
      <c r="I9" s="302">
        <v>131.1</v>
      </c>
      <c r="J9" s="86"/>
      <c r="K9" s="302">
        <v>98.4</v>
      </c>
      <c r="L9" s="302"/>
      <c r="M9" s="29"/>
      <c r="N9" s="30"/>
      <c r="O9" s="30"/>
      <c r="P9" s="109"/>
      <c r="Q9" s="30"/>
      <c r="T9" s="30"/>
      <c r="AZ9"/>
      <c r="BA9"/>
      <c r="BB9"/>
      <c r="BC9"/>
    </row>
    <row r="10" spans="1:55" ht="11.45" customHeight="1">
      <c r="A10" s="304"/>
      <c r="B10" s="300" t="s">
        <v>30</v>
      </c>
      <c r="C10" s="300"/>
      <c r="D10" s="300"/>
      <c r="E10" s="288"/>
      <c r="F10" s="300"/>
      <c r="G10" s="303">
        <v>135.351</v>
      </c>
      <c r="H10" s="302"/>
      <c r="I10" s="302">
        <v>121.8</v>
      </c>
      <c r="J10" s="86"/>
      <c r="K10" s="302">
        <v>120.3</v>
      </c>
      <c r="L10" s="29"/>
      <c r="M10" s="29"/>
      <c r="N10" s="30"/>
      <c r="O10" s="30"/>
      <c r="P10" s="109"/>
      <c r="Q10" s="30"/>
      <c r="T10" s="30"/>
      <c r="AZ10"/>
      <c r="BA10"/>
      <c r="BB10"/>
      <c r="BC10"/>
    </row>
    <row r="11" spans="1:55" ht="11.45" customHeight="1">
      <c r="A11" s="304"/>
      <c r="B11" s="304" t="s">
        <v>6</v>
      </c>
      <c r="C11" s="300"/>
      <c r="D11" s="300"/>
      <c r="E11" s="288"/>
      <c r="F11" s="300"/>
      <c r="G11" s="303">
        <v>79.082999999999998</v>
      </c>
      <c r="H11" s="302"/>
      <c r="I11" s="302">
        <v>74.7</v>
      </c>
      <c r="J11" s="86"/>
      <c r="K11" s="302">
        <v>69.099999999999994</v>
      </c>
      <c r="L11" s="29"/>
      <c r="M11" s="29"/>
      <c r="N11" s="30"/>
      <c r="O11" s="30"/>
      <c r="P11" s="109"/>
      <c r="Q11" s="30"/>
      <c r="T11" s="30"/>
      <c r="AZ11"/>
      <c r="BA11"/>
      <c r="BB11"/>
      <c r="BC11"/>
    </row>
    <row r="12" spans="1:55" ht="11.45" customHeight="1">
      <c r="A12" s="305" t="s">
        <v>17</v>
      </c>
      <c r="B12" s="305"/>
      <c r="C12" s="306"/>
      <c r="D12" s="289"/>
      <c r="E12" s="288"/>
      <c r="F12" s="289"/>
      <c r="G12" s="307">
        <f>SUM(G7:G11)</f>
        <v>380.93499999999995</v>
      </c>
      <c r="H12" s="303"/>
      <c r="I12" s="307">
        <f>SUM(I7:I11)</f>
        <v>418.7</v>
      </c>
      <c r="J12" s="86"/>
      <c r="K12" s="307">
        <f>SUM(K7:K11)+0.1</f>
        <v>381.9</v>
      </c>
      <c r="L12" s="483"/>
      <c r="M12" s="29"/>
      <c r="N12" s="30"/>
      <c r="O12" s="30"/>
      <c r="P12" s="109"/>
      <c r="Q12" s="30"/>
      <c r="T12" s="30"/>
      <c r="AZ12"/>
      <c r="BA12"/>
      <c r="BB12"/>
      <c r="BC12"/>
    </row>
    <row r="13" spans="1:55" ht="11.45" customHeight="1">
      <c r="A13" s="304"/>
      <c r="B13" s="299" t="s">
        <v>31</v>
      </c>
      <c r="C13" s="300"/>
      <c r="D13" s="300"/>
      <c r="E13" s="288">
        <v>8</v>
      </c>
      <c r="F13" s="300"/>
      <c r="G13" s="303">
        <v>1329.895</v>
      </c>
      <c r="H13" s="302"/>
      <c r="I13" s="302">
        <v>1420.8</v>
      </c>
      <c r="J13" s="86"/>
      <c r="K13" s="302">
        <v>1391.5</v>
      </c>
      <c r="L13" s="29"/>
      <c r="M13" s="106"/>
      <c r="N13" s="83"/>
      <c r="O13" s="83"/>
      <c r="P13" s="109"/>
      <c r="Q13" s="83"/>
      <c r="R13" s="83"/>
      <c r="T13" s="30"/>
      <c r="AZ13"/>
      <c r="BA13"/>
      <c r="BB13"/>
      <c r="BC13"/>
    </row>
    <row r="14" spans="1:55" ht="11.45" customHeight="1">
      <c r="A14" s="304"/>
      <c r="B14" s="299" t="s">
        <v>41</v>
      </c>
      <c r="C14" s="300"/>
      <c r="D14" s="300"/>
      <c r="E14" s="288">
        <v>9</v>
      </c>
      <c r="F14" s="300"/>
      <c r="G14" s="303">
        <v>566.096</v>
      </c>
      <c r="H14" s="302"/>
      <c r="I14" s="302">
        <v>682.1</v>
      </c>
      <c r="J14" s="86"/>
      <c r="K14" s="302">
        <v>647.70000000000005</v>
      </c>
      <c r="L14" s="114"/>
      <c r="M14" s="114"/>
      <c r="N14" s="115"/>
      <c r="O14" s="30"/>
      <c r="P14" s="109"/>
      <c r="Q14" s="30"/>
      <c r="T14" s="30"/>
      <c r="AZ14"/>
      <c r="BA14"/>
      <c r="BB14"/>
      <c r="BC14"/>
    </row>
    <row r="15" spans="1:55" ht="11.45" customHeight="1">
      <c r="A15" s="304"/>
      <c r="B15" s="299" t="s">
        <v>13</v>
      </c>
      <c r="C15" s="300"/>
      <c r="D15" s="300"/>
      <c r="E15" s="301">
        <v>10</v>
      </c>
      <c r="F15" s="300"/>
      <c r="G15" s="303">
        <v>94.305999999999997</v>
      </c>
      <c r="H15" s="302"/>
      <c r="I15" s="302">
        <v>86.4</v>
      </c>
      <c r="J15" s="86"/>
      <c r="K15" s="302">
        <v>68.7</v>
      </c>
      <c r="L15" s="29"/>
      <c r="M15" s="29"/>
      <c r="N15" s="30"/>
      <c r="O15" s="30"/>
      <c r="P15" s="109"/>
      <c r="Q15" s="30"/>
      <c r="T15" s="30"/>
      <c r="AZ15"/>
      <c r="BA15"/>
      <c r="BB15"/>
      <c r="BC15"/>
    </row>
    <row r="16" spans="1:55" ht="11.45" customHeight="1">
      <c r="A16" s="304"/>
      <c r="B16" s="299" t="s">
        <v>26</v>
      </c>
      <c r="C16" s="300"/>
      <c r="D16" s="300"/>
      <c r="E16" s="288"/>
      <c r="F16" s="300"/>
      <c r="G16" s="303">
        <v>0.72899999999999998</v>
      </c>
      <c r="H16" s="302"/>
      <c r="I16" s="302">
        <v>101.9</v>
      </c>
      <c r="J16" s="86"/>
      <c r="K16" s="302">
        <v>55.5</v>
      </c>
      <c r="L16" s="29"/>
      <c r="M16" s="29"/>
      <c r="N16" s="30"/>
      <c r="O16" s="30"/>
      <c r="P16" s="109"/>
      <c r="Q16" s="30"/>
      <c r="T16" s="30"/>
      <c r="AZ16"/>
      <c r="BA16"/>
      <c r="BB16"/>
      <c r="BC16"/>
    </row>
    <row r="17" spans="1:55" ht="11.45" customHeight="1">
      <c r="A17" s="304"/>
      <c r="B17" s="299" t="s">
        <v>89</v>
      </c>
      <c r="C17" s="300"/>
      <c r="D17" s="300"/>
      <c r="E17" s="288"/>
      <c r="F17" s="300"/>
      <c r="G17" s="303">
        <v>93.67</v>
      </c>
      <c r="H17" s="302"/>
      <c r="I17" s="302">
        <v>120.1</v>
      </c>
      <c r="J17" s="86"/>
      <c r="K17" s="302">
        <v>113.1</v>
      </c>
      <c r="L17" s="29"/>
      <c r="M17" s="29"/>
      <c r="N17" s="30"/>
      <c r="O17" s="30"/>
      <c r="P17" s="109"/>
      <c r="Q17" s="30"/>
      <c r="T17" s="30"/>
      <c r="AZ17"/>
      <c r="BA17"/>
      <c r="BB17"/>
      <c r="BC17"/>
    </row>
    <row r="18" spans="1:55" ht="11.45" customHeight="1">
      <c r="A18" s="308"/>
      <c r="B18" s="308" t="s">
        <v>32</v>
      </c>
      <c r="C18" s="309"/>
      <c r="D18" s="300"/>
      <c r="E18" s="288"/>
      <c r="F18" s="300"/>
      <c r="G18" s="303">
        <v>178.684</v>
      </c>
      <c r="H18" s="302"/>
      <c r="I18" s="310">
        <v>158.5</v>
      </c>
      <c r="J18" s="86"/>
      <c r="K18" s="310">
        <v>158.6</v>
      </c>
      <c r="L18" s="29"/>
      <c r="M18" s="29"/>
      <c r="N18" s="30"/>
      <c r="O18" s="30"/>
      <c r="P18" s="109"/>
      <c r="Q18" s="30"/>
      <c r="T18" s="30"/>
      <c r="AZ18"/>
      <c r="BA18"/>
      <c r="BB18"/>
      <c r="BC18"/>
    </row>
    <row r="19" spans="1:55" ht="11.45" customHeight="1">
      <c r="A19" s="306" t="s">
        <v>111</v>
      </c>
      <c r="B19" s="308"/>
      <c r="C19" s="311"/>
      <c r="D19" s="300"/>
      <c r="E19" s="288"/>
      <c r="F19" s="300"/>
      <c r="G19" s="307">
        <f>SUM(G13:G18)</f>
        <v>2263.38</v>
      </c>
      <c r="H19" s="302"/>
      <c r="I19" s="302">
        <f>SUM(I13:I18)</f>
        <v>2569.8000000000002</v>
      </c>
      <c r="J19" s="86"/>
      <c r="K19" s="302">
        <f>SUM(K13:K18)</f>
        <v>2435.1</v>
      </c>
      <c r="L19" s="483"/>
      <c r="M19" s="29"/>
      <c r="N19" s="30"/>
      <c r="O19" s="30"/>
      <c r="P19" s="109"/>
      <c r="Q19" s="30"/>
      <c r="T19" s="30"/>
      <c r="AZ19"/>
      <c r="BA19"/>
      <c r="BB19"/>
      <c r="BC19"/>
    </row>
    <row r="20" spans="1:55" s="202" customFormat="1" ht="18" customHeight="1" thickBot="1">
      <c r="A20" s="312"/>
      <c r="B20" s="312" t="s">
        <v>7</v>
      </c>
      <c r="C20" s="313"/>
      <c r="D20" s="314"/>
      <c r="E20" s="295"/>
      <c r="F20" s="314"/>
      <c r="G20" s="315">
        <f>G12+G19</f>
        <v>2644.3150000000001</v>
      </c>
      <c r="H20" s="316"/>
      <c r="I20" s="315">
        <f>I12+I19</f>
        <v>2988.5</v>
      </c>
      <c r="J20" s="203"/>
      <c r="K20" s="315">
        <f>K12+K19</f>
        <v>2817</v>
      </c>
      <c r="L20" s="485"/>
      <c r="M20" s="199"/>
      <c r="N20" s="200"/>
      <c r="O20" s="200"/>
      <c r="P20" s="201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</row>
    <row r="21" spans="1:55" ht="11.45" customHeight="1">
      <c r="A21" s="304"/>
      <c r="B21" s="299"/>
      <c r="C21" s="300"/>
      <c r="D21" s="300"/>
      <c r="E21" s="288"/>
      <c r="F21" s="300"/>
      <c r="G21" s="317"/>
      <c r="H21" s="302"/>
      <c r="I21" s="302"/>
      <c r="J21" s="86"/>
      <c r="K21" s="86"/>
      <c r="L21" s="29"/>
      <c r="M21" s="29"/>
      <c r="N21" s="30"/>
      <c r="O21" s="30"/>
      <c r="P21" s="109"/>
      <c r="Q21" s="30"/>
      <c r="T21" s="30"/>
      <c r="AZ21"/>
      <c r="BA21"/>
      <c r="BB21"/>
      <c r="BC21"/>
    </row>
    <row r="22" spans="1:55" ht="11.45" customHeight="1">
      <c r="A22" s="300" t="s">
        <v>8</v>
      </c>
      <c r="B22" s="300"/>
      <c r="C22" s="300"/>
      <c r="D22" s="300"/>
      <c r="E22" s="318"/>
      <c r="F22" s="300"/>
      <c r="G22" s="302"/>
      <c r="H22" s="302"/>
      <c r="I22" s="302"/>
      <c r="J22" s="86"/>
      <c r="K22" s="86"/>
      <c r="L22" s="29"/>
      <c r="M22" s="29"/>
      <c r="N22" s="30"/>
      <c r="O22" s="30"/>
      <c r="P22" s="109"/>
      <c r="Q22" s="30"/>
      <c r="T22" s="30"/>
      <c r="AZ22"/>
      <c r="BA22"/>
      <c r="BB22"/>
      <c r="BC22"/>
    </row>
    <row r="23" spans="1:55" ht="11.45" customHeight="1">
      <c r="A23" s="300"/>
      <c r="B23" s="300" t="s">
        <v>14</v>
      </c>
      <c r="C23" s="300"/>
      <c r="D23" s="300"/>
      <c r="E23" s="319">
        <v>10</v>
      </c>
      <c r="F23" s="300"/>
      <c r="G23" s="302">
        <v>51.798999999999999</v>
      </c>
      <c r="H23" s="320"/>
      <c r="I23" s="302">
        <v>37.700000000000003</v>
      </c>
      <c r="J23" s="86"/>
      <c r="K23" s="302">
        <v>38.799999999999997</v>
      </c>
      <c r="L23" s="29"/>
      <c r="M23" s="29"/>
      <c r="N23" s="123"/>
      <c r="O23" s="30"/>
      <c r="P23" s="109"/>
      <c r="Q23" s="30"/>
      <c r="T23" s="30"/>
      <c r="AZ23"/>
      <c r="BA23"/>
      <c r="BB23"/>
      <c r="BC23"/>
    </row>
    <row r="24" spans="1:55" ht="11.45" customHeight="1">
      <c r="A24" s="300"/>
      <c r="B24" s="300" t="s">
        <v>10</v>
      </c>
      <c r="C24" s="300"/>
      <c r="D24" s="300"/>
      <c r="E24" s="318"/>
      <c r="F24" s="300"/>
      <c r="G24" s="302">
        <v>79.674999999999997</v>
      </c>
      <c r="H24" s="302"/>
      <c r="I24" s="302">
        <v>55.9</v>
      </c>
      <c r="J24" s="86"/>
      <c r="K24" s="302">
        <v>54.9</v>
      </c>
      <c r="L24" s="29"/>
      <c r="M24" s="29"/>
      <c r="N24" s="30"/>
      <c r="O24" s="30"/>
      <c r="P24" s="109"/>
      <c r="Q24" s="30"/>
      <c r="T24" s="30"/>
      <c r="AZ24"/>
      <c r="BA24"/>
      <c r="BB24"/>
      <c r="BC24"/>
    </row>
    <row r="25" spans="1:55" ht="11.45" customHeight="1">
      <c r="A25" s="300"/>
      <c r="B25" s="300" t="s">
        <v>122</v>
      </c>
      <c r="C25" s="300"/>
      <c r="D25" s="300"/>
      <c r="E25" s="318"/>
      <c r="F25" s="300"/>
      <c r="G25" s="302">
        <v>135.90299999999999</v>
      </c>
      <c r="H25" s="302"/>
      <c r="I25" s="302">
        <v>158.5</v>
      </c>
      <c r="J25" s="86"/>
      <c r="K25" s="302">
        <v>133.30000000000001</v>
      </c>
      <c r="L25" s="29"/>
      <c r="M25" s="29"/>
      <c r="N25" s="30"/>
      <c r="O25" s="30"/>
      <c r="P25" s="109"/>
      <c r="Q25" s="30"/>
      <c r="T25" s="30"/>
      <c r="AZ25"/>
      <c r="BA25"/>
      <c r="BB25"/>
      <c r="BC25"/>
    </row>
    <row r="26" spans="1:55" ht="11.45" customHeight="1">
      <c r="A26" s="289"/>
      <c r="B26" s="289" t="s">
        <v>3</v>
      </c>
      <c r="C26" s="289"/>
      <c r="D26" s="289"/>
      <c r="E26" s="288"/>
      <c r="F26" s="289"/>
      <c r="G26" s="303">
        <v>20.827999999999999</v>
      </c>
      <c r="H26" s="303"/>
      <c r="I26" s="303">
        <v>19.100000000000001</v>
      </c>
      <c r="J26" s="86"/>
      <c r="K26" s="302">
        <v>19.399999999999999</v>
      </c>
      <c r="L26" s="29"/>
      <c r="M26" s="29"/>
      <c r="N26" s="30"/>
      <c r="O26" s="30"/>
      <c r="P26" s="109"/>
      <c r="Q26" s="30"/>
      <c r="T26" s="30"/>
      <c r="AZ26"/>
      <c r="BA26"/>
      <c r="BB26"/>
      <c r="BC26"/>
    </row>
    <row r="27" spans="1:55" ht="11.45" customHeight="1">
      <c r="A27" s="306"/>
      <c r="B27" s="306" t="s">
        <v>15</v>
      </c>
      <c r="C27" s="306"/>
      <c r="D27" s="300"/>
      <c r="E27" s="288"/>
      <c r="F27" s="300"/>
      <c r="G27" s="307">
        <f>SUM(G23:G26)</f>
        <v>288.20499999999993</v>
      </c>
      <c r="H27" s="302"/>
      <c r="I27" s="307">
        <f>SUM(I23:I26)-0.1</f>
        <v>271.09999999999997</v>
      </c>
      <c r="J27" s="86"/>
      <c r="K27" s="307">
        <f>SUM(K23:K26)</f>
        <v>246.4</v>
      </c>
      <c r="L27" s="483"/>
      <c r="M27" s="29"/>
      <c r="N27" s="30"/>
      <c r="O27" s="30"/>
      <c r="P27" s="109"/>
      <c r="Q27" s="30"/>
      <c r="T27" s="30"/>
      <c r="AZ27"/>
      <c r="BA27"/>
      <c r="BB27"/>
      <c r="BC27"/>
    </row>
    <row r="28" spans="1:55" ht="11.45" customHeight="1">
      <c r="A28" s="300"/>
      <c r="B28" s="300" t="s">
        <v>9</v>
      </c>
      <c r="C28" s="300"/>
      <c r="D28" s="300"/>
      <c r="E28" s="301">
        <v>10</v>
      </c>
      <c r="F28" s="300"/>
      <c r="G28" s="302">
        <v>1183.3240000000001</v>
      </c>
      <c r="H28" s="302"/>
      <c r="I28" s="302">
        <v>1326.1</v>
      </c>
      <c r="J28" s="86"/>
      <c r="K28" s="302">
        <v>1132</v>
      </c>
      <c r="L28" s="302"/>
      <c r="M28" s="29"/>
      <c r="N28" s="83" t="s">
        <v>0</v>
      </c>
      <c r="O28" s="30"/>
      <c r="P28" s="109"/>
      <c r="Q28" s="30"/>
      <c r="T28" s="30"/>
      <c r="AZ28"/>
      <c r="BA28"/>
      <c r="BB28"/>
      <c r="BC28"/>
    </row>
    <row r="29" spans="1:55" ht="11.45" customHeight="1">
      <c r="A29" s="300"/>
      <c r="B29" s="304" t="s">
        <v>25</v>
      </c>
      <c r="C29" s="304"/>
      <c r="D29" s="300"/>
      <c r="E29" s="293"/>
      <c r="F29" s="300"/>
      <c r="G29" s="302">
        <v>0.875</v>
      </c>
      <c r="H29" s="302"/>
      <c r="I29" s="302">
        <v>2.6</v>
      </c>
      <c r="J29" s="86"/>
      <c r="K29" s="302">
        <v>2.5</v>
      </c>
      <c r="L29" s="29"/>
      <c r="M29" s="29"/>
      <c r="N29" s="30"/>
      <c r="O29" s="30"/>
      <c r="P29" s="109"/>
      <c r="Q29" s="30"/>
      <c r="T29" s="30"/>
      <c r="AZ29"/>
      <c r="BA29"/>
      <c r="BB29"/>
      <c r="BC29"/>
    </row>
    <row r="30" spans="1:55" ht="11.45" customHeight="1">
      <c r="A30" s="300"/>
      <c r="B30" s="300" t="s">
        <v>4</v>
      </c>
      <c r="C30" s="300"/>
      <c r="D30" s="300"/>
      <c r="E30" s="288"/>
      <c r="F30" s="300"/>
      <c r="G30" s="302">
        <v>94.807000000000002</v>
      </c>
      <c r="H30" s="302">
        <v>2</v>
      </c>
      <c r="I30" s="302">
        <v>103</v>
      </c>
      <c r="J30" s="86"/>
      <c r="K30" s="302">
        <v>76.7</v>
      </c>
      <c r="L30" s="29"/>
      <c r="M30" s="29"/>
      <c r="N30" s="30"/>
      <c r="O30" s="30"/>
      <c r="P30" s="109"/>
      <c r="Q30" s="30"/>
      <c r="T30" s="30"/>
      <c r="AZ30"/>
      <c r="BA30"/>
      <c r="BB30"/>
      <c r="BC30"/>
    </row>
    <row r="31" spans="1:55" ht="11.45" customHeight="1">
      <c r="A31" s="306"/>
      <c r="B31" s="306" t="s">
        <v>24</v>
      </c>
      <c r="C31" s="306"/>
      <c r="D31" s="300"/>
      <c r="E31" s="288"/>
      <c r="F31" s="300"/>
      <c r="G31" s="307">
        <f>SUM(G28:G30)</f>
        <v>1279.0060000000001</v>
      </c>
      <c r="H31" s="303"/>
      <c r="I31" s="307">
        <f>SUM(I28:I30)</f>
        <v>1431.6999999999998</v>
      </c>
      <c r="J31" s="86"/>
      <c r="K31" s="307">
        <f>SUM(K28:K30)</f>
        <v>1211.2</v>
      </c>
      <c r="L31" s="483"/>
      <c r="M31" s="29"/>
      <c r="N31" s="30"/>
      <c r="O31" s="30"/>
      <c r="P31" s="109"/>
      <c r="Q31" s="30"/>
      <c r="T31" s="30"/>
      <c r="AZ31"/>
      <c r="BA31"/>
      <c r="BB31"/>
      <c r="BC31"/>
    </row>
    <row r="32" spans="1:55" ht="11.45" customHeight="1">
      <c r="A32" s="321"/>
      <c r="B32" s="289" t="s">
        <v>34</v>
      </c>
      <c r="C32" s="289"/>
      <c r="D32" s="300"/>
      <c r="E32" s="288"/>
      <c r="F32" s="300"/>
      <c r="G32" s="303"/>
      <c r="H32" s="303"/>
      <c r="I32" s="302"/>
      <c r="J32" s="86"/>
      <c r="K32" s="86"/>
      <c r="L32" s="29"/>
      <c r="M32" s="29"/>
      <c r="N32" s="30"/>
      <c r="O32" s="30"/>
      <c r="P32" s="109"/>
      <c r="Q32" s="30"/>
      <c r="T32" s="30"/>
      <c r="AZ32"/>
      <c r="BA32"/>
      <c r="BB32"/>
      <c r="BC32"/>
    </row>
    <row r="33" spans="1:55" ht="11.45" customHeight="1">
      <c r="A33" s="289"/>
      <c r="B33" s="289" t="s">
        <v>242</v>
      </c>
      <c r="C33" s="299"/>
      <c r="D33" s="300"/>
      <c r="E33" s="293"/>
      <c r="F33" s="300"/>
      <c r="G33" s="303">
        <f>Equity!D22</f>
        <v>138.5</v>
      </c>
      <c r="H33" s="303"/>
      <c r="I33" s="302">
        <v>104</v>
      </c>
      <c r="J33" s="86"/>
      <c r="K33" s="302">
        <v>133.69999999999999</v>
      </c>
      <c r="L33" s="29"/>
      <c r="M33" s="29"/>
      <c r="N33" s="30"/>
      <c r="O33" s="30"/>
      <c r="P33" s="109"/>
      <c r="Q33" s="30"/>
      <c r="T33" s="30"/>
      <c r="AZ33"/>
      <c r="BA33"/>
      <c r="BB33"/>
      <c r="BC33"/>
    </row>
    <row r="34" spans="1:55" ht="11.45" customHeight="1">
      <c r="A34" s="299"/>
      <c r="B34" s="299" t="s">
        <v>35</v>
      </c>
      <c r="C34" s="299"/>
      <c r="D34" s="304"/>
      <c r="E34" s="293"/>
      <c r="F34" s="304"/>
      <c r="G34" s="303">
        <f>Equity!F22</f>
        <v>0</v>
      </c>
      <c r="H34" s="303"/>
      <c r="I34" s="302">
        <v>-0.9</v>
      </c>
      <c r="J34" s="86"/>
      <c r="K34" s="302">
        <v>-0.8</v>
      </c>
      <c r="L34" s="29"/>
      <c r="M34" s="29"/>
      <c r="N34" s="30"/>
      <c r="O34" s="30"/>
      <c r="P34" s="109"/>
      <c r="Q34" s="30"/>
      <c r="T34" s="30"/>
      <c r="AZ34"/>
      <c r="BA34"/>
      <c r="BB34"/>
      <c r="BC34"/>
    </row>
    <row r="35" spans="1:55" ht="11.45" customHeight="1">
      <c r="A35" s="308"/>
      <c r="B35" s="308" t="s">
        <v>22</v>
      </c>
      <c r="C35" s="308"/>
      <c r="D35" s="304"/>
      <c r="E35" s="293"/>
      <c r="F35" s="304"/>
      <c r="G35" s="310">
        <f>Equity!H22</f>
        <v>850.69999999999993</v>
      </c>
      <c r="H35" s="302"/>
      <c r="I35" s="310">
        <v>627.5</v>
      </c>
      <c r="J35" s="86"/>
      <c r="K35" s="310">
        <v>816.3</v>
      </c>
      <c r="L35" s="486"/>
      <c r="M35" s="29"/>
      <c r="N35" s="30"/>
      <c r="O35" s="30"/>
      <c r="P35" s="109"/>
      <c r="Q35" s="30"/>
      <c r="T35" s="30"/>
      <c r="AZ35"/>
      <c r="BA35"/>
      <c r="BB35"/>
      <c r="BC35"/>
    </row>
    <row r="36" spans="1:55" ht="11.45" customHeight="1">
      <c r="A36" s="299" t="s">
        <v>0</v>
      </c>
      <c r="B36" s="299" t="s">
        <v>33</v>
      </c>
      <c r="C36" s="299"/>
      <c r="D36" s="304"/>
      <c r="E36" s="293"/>
      <c r="F36" s="304"/>
      <c r="G36" s="303">
        <f>SUM(G33:G35)</f>
        <v>989.19999999999993</v>
      </c>
      <c r="H36" s="302"/>
      <c r="I36" s="302">
        <f>SUM(I33:I35)</f>
        <v>730.6</v>
      </c>
      <c r="J36" s="86"/>
      <c r="K36" s="302">
        <f>SUM(K33:K35)</f>
        <v>949.19999999999993</v>
      </c>
      <c r="L36" s="29"/>
      <c r="M36" s="29"/>
      <c r="N36" s="30"/>
      <c r="O36" s="30"/>
      <c r="P36" s="109"/>
      <c r="Q36" s="30"/>
      <c r="T36" s="30"/>
      <c r="AZ36"/>
      <c r="BA36"/>
      <c r="BB36"/>
      <c r="BC36"/>
    </row>
    <row r="37" spans="1:55" ht="11.45" customHeight="1">
      <c r="A37" s="299"/>
      <c r="B37" s="299" t="s">
        <v>23</v>
      </c>
      <c r="C37" s="299"/>
      <c r="D37" s="304"/>
      <c r="E37" s="293"/>
      <c r="F37" s="304"/>
      <c r="G37" s="303">
        <f>Equity!J22</f>
        <v>176.33301900000004</v>
      </c>
      <c r="H37" s="303"/>
      <c r="I37" s="302">
        <v>662</v>
      </c>
      <c r="J37" s="86"/>
      <c r="K37" s="302">
        <v>505.7</v>
      </c>
      <c r="L37" s="29"/>
      <c r="M37" s="29"/>
      <c r="N37" s="30"/>
      <c r="O37" s="30"/>
      <c r="P37" s="109"/>
      <c r="Q37" s="30"/>
      <c r="T37" s="30"/>
      <c r="AZ37"/>
      <c r="BA37"/>
      <c r="BB37"/>
      <c r="BC37"/>
    </row>
    <row r="38" spans="1:55" ht="11.45" customHeight="1">
      <c r="A38" s="299"/>
      <c r="B38" s="299" t="s">
        <v>112</v>
      </c>
      <c r="C38" s="299"/>
      <c r="D38" s="304"/>
      <c r="E38" s="293"/>
      <c r="F38" s="304"/>
      <c r="G38" s="303">
        <f>Equity!L22</f>
        <v>-88.4</v>
      </c>
      <c r="H38" s="303"/>
      <c r="I38" s="302">
        <v>-106.9</v>
      </c>
      <c r="J38" s="86"/>
      <c r="K38" s="302">
        <v>-95.5</v>
      </c>
      <c r="L38" s="29"/>
      <c r="M38" s="29"/>
      <c r="N38" s="30"/>
      <c r="O38" s="30"/>
      <c r="P38" s="109"/>
      <c r="Q38" s="30"/>
      <c r="T38" s="30"/>
      <c r="AZ38"/>
      <c r="BA38"/>
      <c r="BB38"/>
      <c r="BC38"/>
    </row>
    <row r="39" spans="1:55" ht="11.45" customHeight="1">
      <c r="A39" s="306" t="s">
        <v>18</v>
      </c>
      <c r="B39" s="306"/>
      <c r="C39" s="306"/>
      <c r="D39" s="300"/>
      <c r="E39" s="301"/>
      <c r="F39" s="300"/>
      <c r="G39" s="307">
        <f>SUM(G36:G38)</f>
        <v>1077.1330189999999</v>
      </c>
      <c r="H39" s="303"/>
      <c r="I39" s="307">
        <f>SUM(I36:I38)</f>
        <v>1285.6999999999998</v>
      </c>
      <c r="K39" s="307">
        <f>SUM(K36:K38)</f>
        <v>1359.3999999999999</v>
      </c>
      <c r="L39" s="487"/>
      <c r="M39" s="30"/>
      <c r="N39" s="110"/>
      <c r="O39" s="30"/>
      <c r="P39" s="30"/>
      <c r="Q39" s="30"/>
      <c r="T39" s="30"/>
      <c r="AX39"/>
      <c r="AY39"/>
      <c r="AZ39"/>
      <c r="BA39"/>
      <c r="BB39"/>
      <c r="BC39"/>
    </row>
    <row r="40" spans="1:55" s="202" customFormat="1" ht="16.5" customHeight="1" thickBot="1">
      <c r="A40" s="313"/>
      <c r="B40" s="313" t="s">
        <v>19</v>
      </c>
      <c r="C40" s="313"/>
      <c r="D40" s="314"/>
      <c r="E40" s="295"/>
      <c r="F40" s="314"/>
      <c r="G40" s="315">
        <f>G31+G39+G27</f>
        <v>2644.3440190000001</v>
      </c>
      <c r="H40" s="316"/>
      <c r="I40" s="315">
        <f>I31+I39+I27</f>
        <v>2988.4999999999995</v>
      </c>
      <c r="J40" s="198"/>
      <c r="K40" s="315">
        <f>K31+K39+K27</f>
        <v>2817</v>
      </c>
      <c r="L40" s="484"/>
      <c r="M40" s="200"/>
      <c r="N40" s="201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</row>
    <row r="41" spans="1:55">
      <c r="A41" s="79"/>
      <c r="B41" s="1"/>
      <c r="C41" s="24"/>
      <c r="D41" s="24"/>
      <c r="E41" s="34"/>
      <c r="F41" s="24"/>
      <c r="G41" s="96"/>
      <c r="H41" s="23"/>
      <c r="I41" s="23"/>
      <c r="K41" s="84"/>
      <c r="L41" s="84"/>
      <c r="M41" s="35"/>
      <c r="N41" s="29"/>
      <c r="O41" s="29"/>
      <c r="P41" s="30"/>
      <c r="Q41" s="30"/>
      <c r="R41" s="109"/>
      <c r="T41" s="30"/>
      <c r="BB41"/>
      <c r="BC41"/>
    </row>
    <row r="42" spans="1:55">
      <c r="A42" s="1"/>
      <c r="B42" s="1"/>
      <c r="C42" s="1"/>
      <c r="D42" s="1"/>
      <c r="E42" s="4"/>
      <c r="F42" s="1"/>
      <c r="G42" s="107"/>
      <c r="H42" s="17"/>
      <c r="I42" s="17"/>
      <c r="J42" s="17"/>
      <c r="K42" s="36"/>
      <c r="L42" s="36"/>
      <c r="M42" s="7"/>
      <c r="N42" s="29"/>
      <c r="O42" s="29"/>
      <c r="P42" s="30"/>
      <c r="Q42" s="30"/>
      <c r="R42" s="109"/>
      <c r="T42" s="30"/>
      <c r="BB42"/>
      <c r="BC42"/>
    </row>
    <row r="43" spans="1:55">
      <c r="A43" s="1"/>
      <c r="B43" s="1"/>
      <c r="C43" s="1"/>
      <c r="D43" s="1"/>
      <c r="E43" s="4"/>
      <c r="F43" s="1"/>
      <c r="G43" s="120"/>
      <c r="H43" s="17"/>
      <c r="I43" s="17"/>
      <c r="J43" s="17"/>
      <c r="K43" s="17"/>
      <c r="L43" s="36"/>
      <c r="M43" s="36"/>
      <c r="N43" s="36"/>
      <c r="O43" s="7"/>
    </row>
    <row r="44" spans="1:55">
      <c r="A44" s="1"/>
      <c r="B44" s="1"/>
      <c r="C44" s="1"/>
      <c r="D44" s="1"/>
      <c r="E44" s="4"/>
      <c r="F44" s="1"/>
      <c r="G44" s="1"/>
      <c r="H44" s="17"/>
      <c r="I44" s="17"/>
      <c r="J44" s="17"/>
      <c r="K44" s="17"/>
      <c r="L44" s="36"/>
      <c r="M44" s="36"/>
      <c r="N44" s="36"/>
      <c r="O44" s="7"/>
    </row>
    <row r="45" spans="1:55">
      <c r="A45" s="1"/>
      <c r="B45" s="1"/>
      <c r="C45" s="1"/>
      <c r="D45" s="1"/>
      <c r="E45" s="4"/>
      <c r="F45" s="1"/>
      <c r="G45" s="1"/>
      <c r="H45" s="17"/>
      <c r="I45" s="17"/>
      <c r="J45" s="17"/>
      <c r="K45" s="17"/>
      <c r="L45" s="36"/>
      <c r="M45" s="36"/>
      <c r="N45" s="36"/>
      <c r="O45" s="7"/>
    </row>
    <row r="46" spans="1:55">
      <c r="A46" s="1"/>
      <c r="B46" s="1"/>
      <c r="C46" s="1"/>
      <c r="D46" s="1"/>
      <c r="E46" s="4"/>
      <c r="F46" s="1"/>
      <c r="G46" s="1"/>
      <c r="H46" s="17"/>
      <c r="I46" s="17"/>
      <c r="J46" s="17"/>
      <c r="K46" s="17"/>
      <c r="L46" s="36"/>
      <c r="M46" s="36"/>
      <c r="N46" s="36"/>
      <c r="O46" s="7"/>
    </row>
    <row r="47" spans="1:55">
      <c r="A47" s="1"/>
      <c r="B47" s="1"/>
      <c r="C47" s="1"/>
      <c r="D47" s="1"/>
      <c r="E47" s="4"/>
      <c r="F47" s="1"/>
      <c r="G47" s="1"/>
      <c r="H47" s="17"/>
      <c r="I47" s="17"/>
      <c r="J47" s="17"/>
      <c r="K47" s="17"/>
      <c r="L47" s="36"/>
      <c r="M47" s="36"/>
      <c r="N47" s="36"/>
      <c r="O47" s="1"/>
    </row>
    <row r="48" spans="1:55">
      <c r="A48" s="1"/>
      <c r="B48" s="1"/>
      <c r="C48" s="1"/>
      <c r="D48" s="1"/>
      <c r="E48" s="4"/>
      <c r="F48" s="1"/>
      <c r="G48" s="1"/>
      <c r="H48" s="17"/>
      <c r="I48" s="17"/>
      <c r="J48" s="17"/>
      <c r="K48" s="17"/>
      <c r="L48" s="85"/>
      <c r="M48" s="85"/>
      <c r="N48" s="85"/>
      <c r="O48" s="17"/>
      <c r="P48" s="18"/>
      <c r="Q48" s="18"/>
    </row>
    <row r="49" spans="1:17">
      <c r="A49" s="1"/>
      <c r="B49" s="1"/>
      <c r="C49" s="1"/>
      <c r="D49" s="1"/>
      <c r="E49" s="4"/>
      <c r="F49" s="1"/>
      <c r="G49" s="1"/>
      <c r="H49" s="17"/>
      <c r="I49" s="17"/>
      <c r="J49" s="17"/>
      <c r="K49" s="17"/>
      <c r="L49" s="85"/>
      <c r="M49" s="85"/>
      <c r="N49" s="85"/>
      <c r="O49" s="17"/>
      <c r="P49" s="18"/>
      <c r="Q49" s="18"/>
    </row>
    <row r="50" spans="1:17">
      <c r="A50" s="1"/>
      <c r="B50" s="1"/>
      <c r="C50" s="1"/>
      <c r="D50" s="1"/>
      <c r="E50" s="4"/>
      <c r="F50" s="1"/>
      <c r="G50" s="1"/>
      <c r="H50" s="17"/>
      <c r="I50" s="17"/>
      <c r="J50" s="17"/>
      <c r="K50" s="17"/>
      <c r="L50" s="85"/>
      <c r="M50" s="85"/>
      <c r="N50" s="85"/>
      <c r="O50" s="17"/>
      <c r="P50" s="18"/>
      <c r="Q50" s="18"/>
    </row>
    <row r="51" spans="1:17">
      <c r="A51" s="1"/>
      <c r="B51" s="1"/>
      <c r="C51" s="1"/>
      <c r="D51" s="1"/>
      <c r="E51" s="4"/>
      <c r="F51" s="1"/>
      <c r="G51" s="1"/>
      <c r="H51" s="17"/>
      <c r="I51" s="17"/>
      <c r="J51" s="17"/>
      <c r="K51" s="17"/>
      <c r="L51" s="85"/>
      <c r="M51" s="85"/>
      <c r="N51" s="85"/>
      <c r="O51" s="17"/>
      <c r="P51" s="18"/>
      <c r="Q51" s="18"/>
    </row>
    <row r="52" spans="1:17">
      <c r="A52" s="1"/>
      <c r="B52" s="1"/>
      <c r="C52" s="1"/>
      <c r="D52" s="1"/>
      <c r="E52" s="4"/>
      <c r="F52" s="1"/>
      <c r="G52" s="1"/>
      <c r="H52" s="17"/>
      <c r="I52" s="17"/>
      <c r="J52" s="17"/>
      <c r="K52" s="17"/>
      <c r="L52" s="85"/>
      <c r="M52" s="85"/>
      <c r="N52" s="85"/>
      <c r="O52" s="17"/>
      <c r="P52" s="18"/>
      <c r="Q52" s="18"/>
    </row>
  </sheetData>
  <mergeCells count="2">
    <mergeCell ref="A1:K1"/>
    <mergeCell ref="G3:I3"/>
  </mergeCells>
  <phoneticPr fontId="0" type="noConversion"/>
  <printOptions horizontalCentered="1"/>
  <pageMargins left="0.51181102362204722" right="0" top="0.39370078740157483" bottom="1.7716535433070868" header="0.31496062992125984" footer="0.23622047244094491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70"/>
  <sheetViews>
    <sheetView showGridLines="0" zoomScale="115" zoomScaleNormal="115" workbookViewId="0">
      <selection sqref="A1:O1"/>
    </sheetView>
  </sheetViews>
  <sheetFormatPr defaultColWidth="9.140625" defaultRowHeight="12.75"/>
  <cols>
    <col min="1" max="1" width="2.140625" style="41" customWidth="1"/>
    <col min="2" max="2" width="0.7109375" style="41" customWidth="1"/>
    <col min="3" max="3" width="62.28515625" style="41" customWidth="1"/>
    <col min="4" max="4" width="1.7109375" style="41" customWidth="1"/>
    <col min="5" max="5" width="12.28515625" style="41" customWidth="1"/>
    <col min="6" max="6" width="1.140625" style="41" customWidth="1"/>
    <col min="7" max="7" width="12.28515625" style="41" customWidth="1"/>
    <col min="8" max="8" width="2.5703125" style="41" customWidth="1"/>
    <col min="9" max="9" width="10.28515625" style="41" customWidth="1"/>
    <col min="10" max="10" width="1.85546875" style="41" customWidth="1"/>
    <col min="11" max="11" width="9.85546875" style="41" customWidth="1"/>
    <col min="12" max="12" width="2.42578125" style="41" customWidth="1"/>
    <col min="13" max="13" width="14.42578125" style="41" customWidth="1"/>
    <col min="14" max="14" width="3.85546875" style="41" customWidth="1"/>
    <col min="15" max="15" width="2" style="41" customWidth="1"/>
    <col min="16" max="16" width="2.85546875" style="41" customWidth="1"/>
    <col min="17" max="17" width="12.28515625" style="41" customWidth="1"/>
    <col min="18" max="18" width="3.42578125" style="41" customWidth="1"/>
    <col min="19" max="16384" width="9.140625" style="41"/>
  </cols>
  <sheetData>
    <row r="1" spans="1:23" s="1" customFormat="1" ht="18.75">
      <c r="A1" s="539" t="s">
        <v>94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100"/>
      <c r="Q1" s="100"/>
      <c r="R1" s="100"/>
      <c r="S1" s="8"/>
      <c r="T1" s="118"/>
      <c r="U1" s="8"/>
      <c r="V1" s="8"/>
      <c r="W1" s="8"/>
    </row>
    <row r="2" spans="1:23" s="1" customFormat="1" ht="11.25" customHeight="1" thickBot="1">
      <c r="A2" s="176"/>
      <c r="B2" s="176"/>
      <c r="C2" s="176"/>
      <c r="D2" s="176"/>
      <c r="E2" s="190"/>
      <c r="F2" s="190"/>
      <c r="G2" s="191"/>
      <c r="H2" s="176"/>
      <c r="I2" s="176"/>
      <c r="J2" s="176"/>
      <c r="K2" s="176"/>
      <c r="L2" s="176"/>
      <c r="M2" s="190"/>
      <c r="N2" s="191"/>
      <c r="O2" s="191"/>
      <c r="P2" s="80"/>
      <c r="Q2" s="80"/>
      <c r="R2" s="121"/>
      <c r="S2" s="8"/>
      <c r="T2" s="118"/>
      <c r="U2" s="8"/>
      <c r="V2" s="8"/>
      <c r="W2" s="8"/>
    </row>
    <row r="3" spans="1:23" s="39" customFormat="1" ht="11.45" customHeight="1">
      <c r="A3" s="137"/>
      <c r="B3" s="137"/>
      <c r="C3" s="137"/>
      <c r="D3" s="137"/>
      <c r="E3" s="540" t="s">
        <v>5</v>
      </c>
      <c r="F3" s="540"/>
      <c r="G3" s="540"/>
      <c r="H3" s="464"/>
      <c r="I3" s="540" t="s">
        <v>254</v>
      </c>
      <c r="J3" s="540"/>
      <c r="K3" s="540"/>
      <c r="L3" s="464"/>
      <c r="M3" s="512" t="s">
        <v>20</v>
      </c>
      <c r="N3" s="517"/>
      <c r="O3" s="149"/>
      <c r="P3" s="43"/>
      <c r="Q3" s="43"/>
      <c r="R3" s="42"/>
    </row>
    <row r="4" spans="1:23" ht="11.45" customHeight="1">
      <c r="A4" s="137"/>
      <c r="B4" s="137"/>
      <c r="C4" s="150"/>
      <c r="D4" s="150"/>
      <c r="E4" s="541" t="s">
        <v>249</v>
      </c>
      <c r="F4" s="541"/>
      <c r="G4" s="541"/>
      <c r="H4" s="496"/>
      <c r="I4" s="541" t="s">
        <v>249</v>
      </c>
      <c r="J4" s="541"/>
      <c r="K4" s="541"/>
      <c r="L4" s="496"/>
      <c r="M4" s="513" t="s">
        <v>1</v>
      </c>
      <c r="N4" s="518"/>
      <c r="O4" s="151"/>
      <c r="P4" s="124"/>
      <c r="Q4" s="124"/>
      <c r="R4" s="42"/>
    </row>
    <row r="5" spans="1:23" ht="11.25" customHeight="1" thickBot="1">
      <c r="A5" s="152" t="s">
        <v>99</v>
      </c>
      <c r="B5" s="148"/>
      <c r="C5" s="153"/>
      <c r="D5" s="150"/>
      <c r="E5" s="154">
        <v>2017</v>
      </c>
      <c r="F5" s="148"/>
      <c r="G5" s="154">
        <v>2016</v>
      </c>
      <c r="H5" s="137"/>
      <c r="I5" s="148">
        <v>2017</v>
      </c>
      <c r="J5" s="546">
        <v>2016</v>
      </c>
      <c r="K5" s="546"/>
      <c r="L5" s="137"/>
      <c r="M5" s="154">
        <v>2016</v>
      </c>
      <c r="N5" s="148"/>
      <c r="O5" s="154"/>
      <c r="P5" s="88"/>
      <c r="Q5" s="88"/>
      <c r="R5" s="42"/>
    </row>
    <row r="6" spans="1:23" ht="11.45" customHeight="1">
      <c r="A6" s="155"/>
      <c r="B6" s="155"/>
      <c r="C6" s="155"/>
      <c r="D6" s="155"/>
      <c r="E6" s="156" t="s">
        <v>0</v>
      </c>
      <c r="F6" s="156"/>
      <c r="G6" s="156"/>
      <c r="H6" s="155"/>
      <c r="I6" s="155"/>
      <c r="J6" s="155"/>
      <c r="K6" s="155"/>
      <c r="L6" s="155"/>
      <c r="M6" s="156"/>
      <c r="N6" s="156"/>
      <c r="O6" s="156"/>
      <c r="P6" s="87"/>
      <c r="Q6" s="87"/>
      <c r="R6" s="87"/>
    </row>
    <row r="7" spans="1:23" ht="11.45" customHeight="1">
      <c r="A7" s="157"/>
      <c r="B7" s="158" t="s">
        <v>165</v>
      </c>
      <c r="C7" s="159"/>
      <c r="D7" s="160"/>
      <c r="E7" s="144">
        <f>'IS &amp; OCI'!F23</f>
        <v>-189.85098099999999</v>
      </c>
      <c r="F7" s="196"/>
      <c r="G7" s="144">
        <f>'IS &amp; OCI'!H23</f>
        <v>-29.000000000000007</v>
      </c>
      <c r="H7" s="160"/>
      <c r="I7" s="144">
        <f>+'IS &amp; OCI'!J23</f>
        <v>-328.56698099999994</v>
      </c>
      <c r="J7" s="160"/>
      <c r="K7" s="143">
        <f>+'IS &amp; OCI'!L23</f>
        <v>-137.69999999999993</v>
      </c>
      <c r="L7" s="160"/>
      <c r="M7" s="144">
        <f>'IS &amp; OCI'!N23</f>
        <v>-293.89999999999998</v>
      </c>
      <c r="N7" s="196"/>
      <c r="O7" s="144"/>
      <c r="P7" s="91"/>
      <c r="Q7" s="522"/>
      <c r="R7" s="98"/>
    </row>
    <row r="8" spans="1:23" ht="11.45" customHeight="1">
      <c r="A8" s="157"/>
      <c r="B8" s="160" t="s">
        <v>177</v>
      </c>
      <c r="C8" s="160"/>
      <c r="D8" s="169"/>
      <c r="E8" s="331">
        <v>209.2</v>
      </c>
      <c r="F8" s="161"/>
      <c r="G8" s="145">
        <v>127.3</v>
      </c>
      <c r="H8" s="169"/>
      <c r="I8" s="331">
        <f>248.3+E8</f>
        <v>457.5</v>
      </c>
      <c r="J8" s="169"/>
      <c r="K8" s="145">
        <v>345.5</v>
      </c>
      <c r="L8" s="169"/>
      <c r="M8" s="145">
        <v>493</v>
      </c>
      <c r="N8" s="161"/>
      <c r="O8" s="145"/>
      <c r="P8" s="89"/>
      <c r="Q8" s="523"/>
      <c r="R8" s="92"/>
    </row>
    <row r="9" spans="1:23" ht="11.45" customHeight="1">
      <c r="A9" s="157"/>
      <c r="B9" s="160" t="s">
        <v>237</v>
      </c>
      <c r="C9" s="160"/>
      <c r="D9" s="169"/>
      <c r="E9" s="331">
        <f>-'IS &amp; OCI'!F18</f>
        <v>2.8688899999999999</v>
      </c>
      <c r="F9" s="161"/>
      <c r="G9" s="145">
        <v>-2.4</v>
      </c>
      <c r="H9" s="169"/>
      <c r="I9" s="331">
        <f>4.9+E9</f>
        <v>7.7688900000000007</v>
      </c>
      <c r="J9" s="169"/>
      <c r="K9" s="145">
        <v>23.9</v>
      </c>
      <c r="L9" s="169"/>
      <c r="M9" s="145">
        <v>30.1</v>
      </c>
      <c r="N9" s="161"/>
      <c r="O9" s="145"/>
      <c r="P9" s="89"/>
      <c r="Q9" s="523"/>
      <c r="R9" s="92"/>
    </row>
    <row r="10" spans="1:23" ht="11.45" customHeight="1">
      <c r="A10" s="157"/>
      <c r="B10" s="160" t="s">
        <v>12</v>
      </c>
      <c r="C10" s="160"/>
      <c r="D10" s="169"/>
      <c r="E10" s="145">
        <f>-'IS &amp; OCI'!F19</f>
        <v>15.643000000000001</v>
      </c>
      <c r="F10" s="161"/>
      <c r="G10" s="145">
        <v>13.9</v>
      </c>
      <c r="H10" s="169"/>
      <c r="I10" s="331">
        <f>26.3+E10</f>
        <v>41.942999999999998</v>
      </c>
      <c r="J10" s="169"/>
      <c r="K10" s="145">
        <v>31.7</v>
      </c>
      <c r="L10" s="169"/>
      <c r="M10" s="145">
        <v>46.1</v>
      </c>
      <c r="N10" s="161"/>
      <c r="O10" s="145"/>
      <c r="P10" s="89"/>
      <c r="Q10" s="523"/>
      <c r="R10" s="92"/>
    </row>
    <row r="11" spans="1:23" ht="11.45" customHeight="1">
      <c r="A11" s="157"/>
      <c r="B11" s="160" t="s">
        <v>176</v>
      </c>
      <c r="C11" s="160"/>
      <c r="D11" s="169"/>
      <c r="E11" s="331">
        <v>-0.2</v>
      </c>
      <c r="F11" s="161"/>
      <c r="G11" s="331">
        <v>1.2</v>
      </c>
      <c r="H11" s="169"/>
      <c r="I11" s="145">
        <f>-5.2+E11</f>
        <v>-5.4</v>
      </c>
      <c r="J11" s="169"/>
      <c r="K11" s="145">
        <v>3</v>
      </c>
      <c r="L11" s="169"/>
      <c r="M11" s="145">
        <v>4.5</v>
      </c>
      <c r="N11" s="161"/>
      <c r="O11" s="145"/>
      <c r="P11" s="89"/>
      <c r="Q11" s="523"/>
      <c r="R11" s="92"/>
    </row>
    <row r="12" spans="1:23" ht="11.45" customHeight="1">
      <c r="A12" s="157"/>
      <c r="B12" s="160" t="s">
        <v>236</v>
      </c>
      <c r="C12" s="160"/>
      <c r="D12" s="169"/>
      <c r="E12" s="331">
        <v>53.3</v>
      </c>
      <c r="F12" s="161"/>
      <c r="G12" s="331">
        <v>4.0999999999999996</v>
      </c>
      <c r="H12" s="169"/>
      <c r="I12" s="145">
        <f>-10.9+E12-0.1</f>
        <v>42.3</v>
      </c>
      <c r="J12" s="169"/>
      <c r="K12" s="331">
        <v>-12.1</v>
      </c>
      <c r="L12" s="169"/>
      <c r="M12" s="145">
        <v>24.7</v>
      </c>
      <c r="N12" s="161"/>
      <c r="O12" s="145"/>
      <c r="P12" s="89"/>
      <c r="Q12" s="523"/>
      <c r="R12" s="92"/>
    </row>
    <row r="13" spans="1:23" ht="11.45" customHeight="1">
      <c r="A13" s="157"/>
      <c r="B13" s="160" t="s">
        <v>243</v>
      </c>
      <c r="C13" s="160"/>
      <c r="D13" s="169"/>
      <c r="E13" s="331">
        <v>0.2</v>
      </c>
      <c r="F13" s="161"/>
      <c r="G13" s="331">
        <v>-1.8</v>
      </c>
      <c r="H13" s="169"/>
      <c r="I13" s="145">
        <f>-7.3+E13</f>
        <v>-7.1</v>
      </c>
      <c r="J13" s="169"/>
      <c r="K13" s="331">
        <v>-6.1</v>
      </c>
      <c r="L13" s="169"/>
      <c r="M13" s="145">
        <v>-7.4</v>
      </c>
      <c r="N13" s="161"/>
      <c r="O13" s="145"/>
      <c r="P13" s="89"/>
      <c r="Q13" s="523"/>
      <c r="R13" s="92"/>
    </row>
    <row r="14" spans="1:23" ht="11.45" customHeight="1">
      <c r="A14" s="157"/>
      <c r="B14" s="160" t="s">
        <v>82</v>
      </c>
      <c r="C14" s="160"/>
      <c r="D14" s="169"/>
      <c r="E14" s="331">
        <v>1.6</v>
      </c>
      <c r="F14" s="161"/>
      <c r="G14" s="331">
        <v>0.9</v>
      </c>
      <c r="H14" s="169"/>
      <c r="I14" s="145">
        <f>2+E14</f>
        <v>3.6</v>
      </c>
      <c r="J14" s="169"/>
      <c r="K14" s="331">
        <v>7</v>
      </c>
      <c r="L14" s="169"/>
      <c r="M14" s="145">
        <v>0.7</v>
      </c>
      <c r="N14" s="161"/>
      <c r="O14" s="145"/>
      <c r="P14" s="89"/>
      <c r="Q14" s="523"/>
      <c r="R14" s="92"/>
    </row>
    <row r="15" spans="1:23" ht="11.45" customHeight="1">
      <c r="A15" s="157"/>
      <c r="B15" s="160" t="s">
        <v>91</v>
      </c>
      <c r="C15" s="160"/>
      <c r="D15" s="169"/>
      <c r="E15" s="331">
        <v>26</v>
      </c>
      <c r="F15" s="161"/>
      <c r="G15" s="331">
        <v>-32.200000000000003</v>
      </c>
      <c r="H15" s="169"/>
      <c r="I15" s="145">
        <f>-64.6+E15</f>
        <v>-38.599999999999994</v>
      </c>
      <c r="J15" s="169"/>
      <c r="K15" s="331">
        <v>18</v>
      </c>
      <c r="L15" s="169"/>
      <c r="M15" s="145">
        <v>52.2</v>
      </c>
      <c r="N15" s="161"/>
      <c r="O15" s="145"/>
      <c r="P15" s="89"/>
      <c r="Q15" s="523"/>
      <c r="R15" s="92"/>
    </row>
    <row r="16" spans="1:23" ht="11.45" customHeight="1">
      <c r="A16" s="157"/>
      <c r="B16" s="160" t="s">
        <v>81</v>
      </c>
      <c r="C16" s="160"/>
      <c r="D16" s="169"/>
      <c r="E16" s="331">
        <v>0.5</v>
      </c>
      <c r="F16" s="161"/>
      <c r="G16" s="331">
        <v>-3.3</v>
      </c>
      <c r="H16" s="169"/>
      <c r="I16" s="145">
        <f>20.7+E16</f>
        <v>21.2</v>
      </c>
      <c r="J16" s="169"/>
      <c r="K16" s="331">
        <v>10.1</v>
      </c>
      <c r="L16" s="169"/>
      <c r="M16" s="145">
        <v>9.9</v>
      </c>
      <c r="N16" s="161"/>
      <c r="O16" s="145"/>
      <c r="P16" s="89"/>
      <c r="Q16" s="523"/>
      <c r="R16" s="92"/>
    </row>
    <row r="17" spans="1:18" ht="11.45" customHeight="1">
      <c r="A17" s="157"/>
      <c r="B17" s="160" t="s">
        <v>123</v>
      </c>
      <c r="C17" s="160"/>
      <c r="D17" s="169"/>
      <c r="E17" s="331">
        <v>-15.8</v>
      </c>
      <c r="F17" s="161"/>
      <c r="G17" s="145">
        <v>1.9</v>
      </c>
      <c r="H17" s="169"/>
      <c r="I17" s="145">
        <f>-1+E17</f>
        <v>-16.8</v>
      </c>
      <c r="J17" s="169"/>
      <c r="K17" s="331">
        <v>-25.5</v>
      </c>
      <c r="L17" s="169"/>
      <c r="M17" s="145">
        <v>-33</v>
      </c>
      <c r="N17" s="161"/>
      <c r="O17" s="145"/>
      <c r="P17" s="89"/>
      <c r="Q17" s="523"/>
      <c r="R17" s="92"/>
    </row>
    <row r="18" spans="1:18" ht="11.45" customHeight="1">
      <c r="A18" s="157"/>
      <c r="B18" s="160" t="s">
        <v>96</v>
      </c>
      <c r="C18" s="160"/>
      <c r="D18" s="169"/>
      <c r="E18" s="331">
        <v>15.1</v>
      </c>
      <c r="F18" s="161"/>
      <c r="G18" s="145">
        <f>3.9-4.1</f>
        <v>-0.19999999999999973</v>
      </c>
      <c r="H18" s="169"/>
      <c r="I18" s="145">
        <f>4.9+E18</f>
        <v>20</v>
      </c>
      <c r="J18" s="169"/>
      <c r="K18" s="331">
        <f>-13.7+12.1</f>
        <v>-1.5999999999999996</v>
      </c>
      <c r="L18" s="169"/>
      <c r="M18" s="145">
        <v>-6.1</v>
      </c>
      <c r="N18" s="161"/>
      <c r="O18" s="145"/>
      <c r="P18" s="89"/>
      <c r="Q18" s="523"/>
      <c r="R18" s="92"/>
    </row>
    <row r="19" spans="1:18" ht="11.45" customHeight="1">
      <c r="A19" s="164"/>
      <c r="B19" s="165" t="s">
        <v>160</v>
      </c>
      <c r="C19" s="166"/>
      <c r="D19" s="167"/>
      <c r="E19" s="335">
        <f>SUM(E7:E18)-0.2</f>
        <v>118.36090899999998</v>
      </c>
      <c r="F19" s="196"/>
      <c r="G19" s="147">
        <f>SUM(G7:G18)</f>
        <v>80.399999999999991</v>
      </c>
      <c r="H19" s="167"/>
      <c r="I19" s="147">
        <f>SUM(I7:I18)</f>
        <v>197.844909</v>
      </c>
      <c r="J19" s="167"/>
      <c r="K19" s="147">
        <f>SUM(K7:K18)</f>
        <v>256.2000000000001</v>
      </c>
      <c r="L19" s="167"/>
      <c r="M19" s="147">
        <f>SUM(M7:M18)+0.1</f>
        <v>320.89999999999998</v>
      </c>
      <c r="N19" s="196"/>
      <c r="O19" s="144"/>
      <c r="P19" s="91"/>
      <c r="Q19" s="522"/>
      <c r="R19" s="92"/>
    </row>
    <row r="20" spans="1:18" ht="11.45" customHeight="1">
      <c r="A20" s="157"/>
      <c r="B20" s="160" t="s">
        <v>80</v>
      </c>
      <c r="C20" s="160"/>
      <c r="D20" s="169"/>
      <c r="E20" s="331">
        <v>-82</v>
      </c>
      <c r="F20" s="161"/>
      <c r="G20" s="145">
        <v>-63</v>
      </c>
      <c r="H20" s="169"/>
      <c r="I20" s="145">
        <f>-77.4+E20</f>
        <v>-159.4</v>
      </c>
      <c r="J20" s="169"/>
      <c r="K20" s="145">
        <v>-153.1</v>
      </c>
      <c r="L20" s="169"/>
      <c r="M20" s="145">
        <v>-201</v>
      </c>
      <c r="N20" s="161"/>
      <c r="O20" s="145"/>
      <c r="P20" s="89"/>
      <c r="Q20" s="523"/>
      <c r="R20" s="92"/>
    </row>
    <row r="21" spans="1:18" ht="11.45" customHeight="1">
      <c r="A21" s="157"/>
      <c r="B21" s="160" t="s">
        <v>92</v>
      </c>
      <c r="C21" s="160"/>
      <c r="D21" s="169"/>
      <c r="E21" s="331">
        <v>-9.3000000000000007</v>
      </c>
      <c r="F21" s="161"/>
      <c r="G21" s="145">
        <v>-10.9</v>
      </c>
      <c r="H21" s="169"/>
      <c r="I21" s="145">
        <f>-124.7+E21</f>
        <v>-134</v>
      </c>
      <c r="J21" s="169"/>
      <c r="K21" s="145">
        <v>-192.3</v>
      </c>
      <c r="L21" s="169"/>
      <c r="M21" s="145">
        <v>-218.2</v>
      </c>
      <c r="N21" s="161"/>
      <c r="O21" s="145"/>
      <c r="P21" s="377"/>
      <c r="Q21" s="524"/>
      <c r="R21" s="92"/>
    </row>
    <row r="22" spans="1:18" ht="11.45" customHeight="1">
      <c r="A22" s="157"/>
      <c r="B22" s="160" t="s">
        <v>79</v>
      </c>
      <c r="C22" s="155"/>
      <c r="D22" s="169"/>
      <c r="E22" s="331">
        <v>-7.5</v>
      </c>
      <c r="F22" s="161"/>
      <c r="G22" s="145">
        <v>-2.2000000000000002</v>
      </c>
      <c r="H22" s="169"/>
      <c r="I22" s="145">
        <f>-6.2+E22</f>
        <v>-13.7</v>
      </c>
      <c r="J22" s="169"/>
      <c r="K22" s="145">
        <v>-7.6</v>
      </c>
      <c r="L22" s="169"/>
      <c r="M22" s="145">
        <v>-11.1</v>
      </c>
      <c r="N22" s="161"/>
      <c r="O22" s="145"/>
      <c r="P22" s="89"/>
      <c r="Q22" s="523"/>
      <c r="R22" s="92"/>
    </row>
    <row r="23" spans="1:18" ht="11.45" customHeight="1">
      <c r="A23" s="157"/>
      <c r="B23" s="160" t="s">
        <v>97</v>
      </c>
      <c r="C23" s="130"/>
      <c r="D23" s="169"/>
      <c r="E23" s="331">
        <v>0</v>
      </c>
      <c r="F23" s="161"/>
      <c r="G23" s="145">
        <v>0</v>
      </c>
      <c r="H23" s="169"/>
      <c r="I23" s="145">
        <f>-2.3+E23</f>
        <v>-2.2999999999999998</v>
      </c>
      <c r="J23" s="169"/>
      <c r="K23" s="145">
        <v>-93.1</v>
      </c>
      <c r="L23" s="169"/>
      <c r="M23" s="145">
        <v>-93.1</v>
      </c>
      <c r="N23" s="161"/>
      <c r="O23" s="145"/>
      <c r="P23" s="89"/>
      <c r="Q23" s="523"/>
      <c r="R23" s="91"/>
    </row>
    <row r="24" spans="1:18" ht="11.45" customHeight="1">
      <c r="A24" s="157"/>
      <c r="B24" s="130" t="s">
        <v>121</v>
      </c>
      <c r="C24" s="130"/>
      <c r="D24" s="169"/>
      <c r="E24" s="331">
        <v>0</v>
      </c>
      <c r="F24" s="161"/>
      <c r="G24" s="145">
        <v>1.5</v>
      </c>
      <c r="H24" s="169"/>
      <c r="I24" s="145">
        <f>23.7+E24</f>
        <v>23.7</v>
      </c>
      <c r="J24" s="169"/>
      <c r="K24" s="145">
        <v>1.5</v>
      </c>
      <c r="L24" s="169"/>
      <c r="M24" s="145">
        <v>2.5</v>
      </c>
      <c r="N24" s="161"/>
      <c r="O24" s="145"/>
      <c r="P24" s="89"/>
      <c r="Q24" s="523"/>
      <c r="R24" s="91"/>
    </row>
    <row r="25" spans="1:18" ht="11.45" customHeight="1">
      <c r="A25" s="170"/>
      <c r="B25" s="160" t="s">
        <v>119</v>
      </c>
      <c r="C25" s="160"/>
      <c r="D25" s="169"/>
      <c r="E25" s="331">
        <v>-1.2</v>
      </c>
      <c r="F25" s="161"/>
      <c r="G25" s="145">
        <v>-1.7</v>
      </c>
      <c r="H25" s="169"/>
      <c r="I25" s="145">
        <f>2.6+E25</f>
        <v>1.4000000000000001</v>
      </c>
      <c r="J25" s="169"/>
      <c r="K25" s="145">
        <v>-3.4</v>
      </c>
      <c r="L25" s="169"/>
      <c r="M25" s="145">
        <v>-7.8</v>
      </c>
      <c r="N25" s="161"/>
      <c r="O25" s="145"/>
      <c r="P25" s="89"/>
      <c r="Q25" s="523"/>
      <c r="R25" s="92"/>
    </row>
    <row r="26" spans="1:18" ht="11.45" customHeight="1">
      <c r="A26" s="164"/>
      <c r="B26" s="165" t="s">
        <v>120</v>
      </c>
      <c r="C26" s="165"/>
      <c r="D26" s="167"/>
      <c r="E26" s="335">
        <f>SUM(E20:E25)</f>
        <v>-100</v>
      </c>
      <c r="F26" s="196"/>
      <c r="G26" s="147">
        <f>SUM(G20:G25)</f>
        <v>-76.300000000000011</v>
      </c>
      <c r="H26" s="167"/>
      <c r="I26" s="147">
        <f>SUM(I20:I25)</f>
        <v>-284.3</v>
      </c>
      <c r="J26" s="167"/>
      <c r="K26" s="147">
        <f>SUM(K20:K25)+0.1</f>
        <v>-447.9</v>
      </c>
      <c r="L26" s="167"/>
      <c r="M26" s="147">
        <f>SUM(M20:M25)</f>
        <v>-528.69999999999993</v>
      </c>
      <c r="N26" s="196"/>
      <c r="O26" s="144"/>
      <c r="P26" s="91"/>
      <c r="Q26" s="522"/>
      <c r="R26" s="92"/>
    </row>
    <row r="27" spans="1:18" ht="11.45" customHeight="1">
      <c r="A27" s="170"/>
      <c r="B27" s="171" t="s">
        <v>103</v>
      </c>
      <c r="C27" s="171"/>
      <c r="D27" s="169"/>
      <c r="E27" s="344"/>
      <c r="F27" s="161"/>
      <c r="G27" s="145">
        <v>0</v>
      </c>
      <c r="H27" s="169"/>
      <c r="I27" s="145">
        <f>76.6+E27</f>
        <v>76.599999999999994</v>
      </c>
      <c r="J27" s="169"/>
      <c r="K27" s="145">
        <v>112.8</v>
      </c>
      <c r="L27" s="169"/>
      <c r="M27" s="145">
        <v>102.5</v>
      </c>
      <c r="N27" s="161"/>
      <c r="O27" s="145"/>
      <c r="P27" s="89"/>
      <c r="Q27" s="523"/>
      <c r="R27" s="92"/>
    </row>
    <row r="28" spans="1:18" ht="11.45" customHeight="1">
      <c r="A28" s="170"/>
      <c r="B28" s="171" t="s">
        <v>162</v>
      </c>
      <c r="C28" s="171"/>
      <c r="D28" s="172"/>
      <c r="E28" s="344">
        <v>-13.2</v>
      </c>
      <c r="F28" s="146"/>
      <c r="G28" s="145">
        <v>-10.5</v>
      </c>
      <c r="H28" s="172"/>
      <c r="I28" s="145">
        <f>-25.8+E28</f>
        <v>-39</v>
      </c>
      <c r="J28" s="172"/>
      <c r="K28" s="145">
        <v>-25.3</v>
      </c>
      <c r="L28" s="172"/>
      <c r="M28" s="145">
        <v>-235.3</v>
      </c>
      <c r="N28" s="146"/>
      <c r="O28" s="145"/>
      <c r="P28" s="89"/>
      <c r="Q28" s="523"/>
      <c r="R28" s="91"/>
    </row>
    <row r="29" spans="1:18" ht="11.45" customHeight="1">
      <c r="A29" s="170"/>
      <c r="B29" s="171" t="s">
        <v>125</v>
      </c>
      <c r="C29" s="171"/>
      <c r="D29" s="172"/>
      <c r="E29" s="344">
        <v>-25</v>
      </c>
      <c r="F29" s="146"/>
      <c r="G29" s="145">
        <v>40</v>
      </c>
      <c r="H29" s="172"/>
      <c r="I29" s="145">
        <f>35+E29</f>
        <v>10</v>
      </c>
      <c r="J29" s="172"/>
      <c r="K29" s="145">
        <v>135</v>
      </c>
      <c r="L29" s="172"/>
      <c r="M29" s="145">
        <v>165</v>
      </c>
      <c r="N29" s="146"/>
      <c r="O29" s="145"/>
      <c r="P29" s="89"/>
      <c r="Q29" s="523"/>
      <c r="R29" s="91"/>
    </row>
    <row r="30" spans="1:18" ht="11.45" hidden="1" customHeight="1">
      <c r="A30" s="170"/>
      <c r="B30" s="171" t="s">
        <v>78</v>
      </c>
      <c r="C30" s="130"/>
      <c r="D30" s="169"/>
      <c r="E30" s="331"/>
      <c r="F30" s="161"/>
      <c r="G30" s="145">
        <v>0</v>
      </c>
      <c r="H30" s="169"/>
      <c r="I30" s="145"/>
      <c r="J30" s="169"/>
      <c r="K30" s="145"/>
      <c r="L30" s="169"/>
      <c r="M30" s="145">
        <v>0</v>
      </c>
      <c r="N30" s="161"/>
      <c r="O30" s="145"/>
      <c r="P30" s="89"/>
      <c r="Q30" s="523"/>
      <c r="R30" s="92"/>
    </row>
    <row r="31" spans="1:18" ht="11.45" customHeight="1">
      <c r="A31" s="157"/>
      <c r="B31" s="171" t="s">
        <v>180</v>
      </c>
      <c r="C31" s="130"/>
      <c r="D31" s="169"/>
      <c r="E31" s="331">
        <v>0</v>
      </c>
      <c r="F31" s="162"/>
      <c r="G31" s="145">
        <v>0</v>
      </c>
      <c r="H31" s="169"/>
      <c r="I31" s="145">
        <f>35.4+E31</f>
        <v>35.4</v>
      </c>
      <c r="J31" s="169"/>
      <c r="K31" s="145">
        <v>0</v>
      </c>
      <c r="L31" s="169"/>
      <c r="M31" s="145">
        <v>217.1</v>
      </c>
      <c r="N31" s="162"/>
      <c r="O31" s="145"/>
      <c r="P31" s="89"/>
      <c r="Q31" s="523"/>
      <c r="R31" s="95"/>
    </row>
    <row r="32" spans="1:18" ht="11.45" hidden="1" customHeight="1">
      <c r="A32" s="157"/>
      <c r="B32" s="171" t="s">
        <v>85</v>
      </c>
      <c r="C32" s="130"/>
      <c r="D32" s="169"/>
      <c r="E32" s="331"/>
      <c r="F32" s="162"/>
      <c r="G32" s="145">
        <v>0</v>
      </c>
      <c r="H32" s="169"/>
      <c r="I32" s="145"/>
      <c r="J32" s="169"/>
      <c r="K32" s="145"/>
      <c r="L32" s="169"/>
      <c r="M32" s="145">
        <v>0</v>
      </c>
      <c r="N32" s="162"/>
      <c r="O32" s="145"/>
      <c r="P32" s="89"/>
      <c r="Q32" s="523"/>
      <c r="R32" s="95"/>
    </row>
    <row r="33" spans="1:18" ht="11.45" customHeight="1">
      <c r="A33" s="157"/>
      <c r="B33" s="171" t="s">
        <v>77</v>
      </c>
      <c r="C33" s="171"/>
      <c r="D33" s="169"/>
      <c r="E33" s="331">
        <v>-9.4</v>
      </c>
      <c r="F33" s="162"/>
      <c r="G33" s="145">
        <v>-6.1</v>
      </c>
      <c r="H33" s="169"/>
      <c r="I33" s="145">
        <f>-24.7+E33</f>
        <v>-34.1</v>
      </c>
      <c r="J33" s="169"/>
      <c r="K33" s="145">
        <v>-35.1</v>
      </c>
      <c r="L33" s="169"/>
      <c r="M33" s="145">
        <v>-61.4</v>
      </c>
      <c r="N33" s="162"/>
      <c r="O33" s="145"/>
      <c r="P33" s="89"/>
      <c r="Q33" s="523"/>
      <c r="R33" s="95"/>
    </row>
    <row r="34" spans="1:18" ht="11.45" customHeight="1">
      <c r="A34" s="164"/>
      <c r="B34" s="165" t="s">
        <v>93</v>
      </c>
      <c r="C34" s="165"/>
      <c r="D34" s="167"/>
      <c r="E34" s="335">
        <f>SUM(E27:E33)</f>
        <v>-47.6</v>
      </c>
      <c r="F34" s="196"/>
      <c r="G34" s="147">
        <f>SUM(G27:G33)</f>
        <v>23.4</v>
      </c>
      <c r="H34" s="167"/>
      <c r="I34" s="147">
        <f>SUM(I27:I33)</f>
        <v>48.9</v>
      </c>
      <c r="J34" s="167"/>
      <c r="K34" s="147">
        <f>SUM(K27:K33)</f>
        <v>187.4</v>
      </c>
      <c r="L34" s="167"/>
      <c r="M34" s="147">
        <f>SUM(M27:M33)</f>
        <v>187.89999999999998</v>
      </c>
      <c r="N34" s="196"/>
      <c r="O34" s="144"/>
      <c r="P34" s="91"/>
      <c r="Q34" s="522"/>
      <c r="R34" s="92"/>
    </row>
    <row r="35" spans="1:18" ht="11.45" customHeight="1">
      <c r="A35" s="170"/>
      <c r="B35" s="160" t="s">
        <v>163</v>
      </c>
      <c r="C35" s="170"/>
      <c r="D35" s="167"/>
      <c r="E35" s="145">
        <f>+E34+E26+E19+0.1</f>
        <v>-29.139091000000015</v>
      </c>
      <c r="F35" s="161"/>
      <c r="G35" s="145">
        <f>+G34+G26+G19+0.1</f>
        <v>27.59999999999998</v>
      </c>
      <c r="H35" s="167"/>
      <c r="I35" s="145">
        <f>+I34+I26+I19+0.1</f>
        <v>-37.455091000000003</v>
      </c>
      <c r="J35" s="167"/>
      <c r="K35" s="145">
        <v>-4.3</v>
      </c>
      <c r="L35" s="167"/>
      <c r="M35" s="145">
        <f>+M34+M26+M19</f>
        <v>-19.899999999999977</v>
      </c>
      <c r="N35" s="161"/>
      <c r="O35" s="145"/>
      <c r="P35" s="89"/>
      <c r="Q35" s="523"/>
      <c r="R35" s="92"/>
    </row>
    <row r="36" spans="1:18" ht="11.45" customHeight="1">
      <c r="A36" s="170"/>
      <c r="B36" s="160" t="s">
        <v>76</v>
      </c>
      <c r="C36" s="170"/>
      <c r="D36" s="167"/>
      <c r="E36" s="145">
        <v>53.3</v>
      </c>
      <c r="F36" s="161"/>
      <c r="G36" s="145">
        <v>49.7</v>
      </c>
      <c r="H36" s="167"/>
      <c r="I36" s="145">
        <f>+M37</f>
        <v>61.700000000000017</v>
      </c>
      <c r="J36" s="167"/>
      <c r="K36" s="145">
        <v>81.599999999999994</v>
      </c>
      <c r="L36" s="167"/>
      <c r="M36" s="145">
        <v>81.599999999999994</v>
      </c>
      <c r="N36" s="161"/>
      <c r="O36" s="145"/>
      <c r="P36" s="89"/>
      <c r="Q36" s="523"/>
      <c r="R36" s="92"/>
    </row>
    <row r="37" spans="1:18" ht="11.45" customHeight="1" thickBot="1">
      <c r="A37" s="173" t="s">
        <v>75</v>
      </c>
      <c r="B37" s="173"/>
      <c r="C37" s="173"/>
      <c r="D37" s="167"/>
      <c r="E37" s="174">
        <f>SUM(E35:E36)</f>
        <v>24.160908999999982</v>
      </c>
      <c r="F37" s="175"/>
      <c r="G37" s="174">
        <f>SUM(G35:G36)</f>
        <v>77.299999999999983</v>
      </c>
      <c r="H37" s="167"/>
      <c r="I37" s="174">
        <f>SUM(I35:I36)</f>
        <v>24.244909000000014</v>
      </c>
      <c r="J37" s="167"/>
      <c r="K37" s="174">
        <f>SUM(K35:K36)</f>
        <v>77.3</v>
      </c>
      <c r="L37" s="167"/>
      <c r="M37" s="174">
        <f>SUM(M35:M36)</f>
        <v>61.700000000000017</v>
      </c>
      <c r="N37" s="175"/>
      <c r="O37" s="144"/>
      <c r="P37" s="94"/>
      <c r="Q37" s="525"/>
      <c r="R37" s="101"/>
    </row>
    <row r="38" spans="1:18">
      <c r="A38" s="1"/>
      <c r="B38" s="2" t="s">
        <v>0</v>
      </c>
      <c r="C38" s="2"/>
      <c r="D38" s="2"/>
      <c r="E38" s="2"/>
      <c r="F38" s="2"/>
      <c r="G38" s="31"/>
      <c r="H38" s="2"/>
      <c r="I38" s="2"/>
      <c r="J38" s="2"/>
      <c r="K38" s="2"/>
      <c r="L38" s="2"/>
      <c r="M38" s="2"/>
      <c r="N38" s="31"/>
      <c r="O38" s="2"/>
      <c r="P38" s="2"/>
      <c r="Q38" s="2"/>
      <c r="R38" s="2"/>
    </row>
    <row r="39" spans="1:18">
      <c r="A39" s="39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2"/>
      <c r="R39" s="78"/>
    </row>
    <row r="40" spans="1:18" hidden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78"/>
      <c r="R40" s="39"/>
    </row>
    <row r="41" spans="1:18">
      <c r="A41" s="39" t="s">
        <v>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>
      <c r="A42" s="39" t="s">
        <v>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>
      <c r="A43" s="39"/>
      <c r="B43" s="39"/>
      <c r="C43" s="39" t="s">
        <v>108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>
      <c r="A44" s="39"/>
      <c r="B44" s="39"/>
      <c r="C44" s="39"/>
      <c r="D44" s="39"/>
      <c r="E44" s="39"/>
      <c r="F44" s="39"/>
    </row>
    <row r="45" spans="1:18">
      <c r="A45" s="39"/>
      <c r="B45" s="39"/>
      <c r="C45" s="160"/>
      <c r="D45" s="39"/>
      <c r="E45" s="39"/>
      <c r="F45" s="39"/>
    </row>
    <row r="46" spans="1:18">
      <c r="A46" s="39"/>
      <c r="B46" s="39"/>
      <c r="C46" s="39"/>
      <c r="D46" s="39"/>
      <c r="E46" s="39"/>
      <c r="F46" s="39"/>
    </row>
    <row r="47" spans="1:18">
      <c r="A47" s="39"/>
      <c r="B47" s="39"/>
      <c r="C47" s="39"/>
      <c r="D47" s="39"/>
      <c r="E47" s="39"/>
      <c r="F47" s="39"/>
    </row>
    <row r="48" spans="1:18">
      <c r="A48" s="39"/>
      <c r="B48" s="39"/>
      <c r="C48" s="39"/>
      <c r="D48" s="39"/>
      <c r="E48" s="39"/>
      <c r="F48" s="39"/>
    </row>
    <row r="49" spans="1:18">
      <c r="A49" s="39"/>
      <c r="B49" s="39"/>
      <c r="C49" s="39"/>
      <c r="D49" s="39"/>
      <c r="E49" s="39"/>
      <c r="F49" s="39"/>
    </row>
    <row r="50" spans="1:18">
      <c r="A50" s="39"/>
      <c r="B50" s="39"/>
      <c r="C50" s="39"/>
      <c r="D50" s="39"/>
      <c r="E50" s="39"/>
      <c r="F50" s="39"/>
    </row>
    <row r="51" spans="1:18">
      <c r="A51" s="39"/>
      <c r="B51" s="39"/>
      <c r="C51" s="39"/>
      <c r="D51" s="39"/>
      <c r="E51" s="39"/>
      <c r="F51" s="39"/>
    </row>
    <row r="52" spans="1:18">
      <c r="A52" s="39"/>
      <c r="B52" s="39"/>
      <c r="C52" s="39"/>
      <c r="D52" s="39"/>
      <c r="E52" s="39"/>
      <c r="F52" s="39"/>
    </row>
    <row r="53" spans="1:18">
      <c r="A53" s="39"/>
      <c r="B53" s="39"/>
      <c r="C53" s="39"/>
      <c r="D53" s="39"/>
      <c r="E53" s="39"/>
      <c r="F53" s="39"/>
    </row>
    <row r="54" spans="1:18">
      <c r="A54" s="39"/>
      <c r="B54" s="39"/>
      <c r="C54" s="39"/>
      <c r="D54" s="39"/>
      <c r="E54" s="39"/>
      <c r="F54" s="39"/>
    </row>
    <row r="55" spans="1:18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18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18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1:18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1:18">
      <c r="Q70" s="39"/>
    </row>
  </sheetData>
  <mergeCells count="6">
    <mergeCell ref="J5:K5"/>
    <mergeCell ref="A1:O1"/>
    <mergeCell ref="E3:G3"/>
    <mergeCell ref="E4:G4"/>
    <mergeCell ref="I3:K3"/>
    <mergeCell ref="I4:K4"/>
  </mergeCells>
  <printOptions horizontalCentered="1"/>
  <pageMargins left="0.51181102362204722" right="0.23622047244094491" top="0.39370078740157483" bottom="0.51181102362204722" header="0.31496062992125984" footer="0.23622047244094491"/>
  <pageSetup paperSize="9" scale="70" orientation="portrait" r:id="rId1"/>
  <headerFooter alignWithMargins="0"/>
  <colBreaks count="1" manualBreakCount="1">
    <brk id="16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23"/>
  <sheetViews>
    <sheetView showGridLines="0" zoomScaleNormal="100" workbookViewId="0">
      <selection activeCell="AA1" sqref="AA1"/>
    </sheetView>
  </sheetViews>
  <sheetFormatPr defaultColWidth="9.140625" defaultRowHeight="12.75"/>
  <cols>
    <col min="1" max="1" width="2.5703125" style="41" customWidth="1"/>
    <col min="2" max="2" width="41.5703125" style="41" customWidth="1"/>
    <col min="3" max="3" width="1.7109375" style="41" customWidth="1"/>
    <col min="4" max="4" width="9.5703125" style="41" customWidth="1"/>
    <col min="5" max="5" width="1.7109375" style="41" customWidth="1"/>
    <col min="6" max="6" width="8.85546875" style="41" customWidth="1"/>
    <col min="7" max="7" width="1.7109375" style="41" customWidth="1"/>
    <col min="8" max="8" width="8.7109375" style="41" customWidth="1"/>
    <col min="9" max="9" width="1.7109375" style="41" customWidth="1"/>
    <col min="10" max="10" width="10.85546875" style="41" bestFit="1" customWidth="1"/>
    <col min="11" max="11" width="1.7109375" style="41" customWidth="1"/>
    <col min="12" max="12" width="12.85546875" style="41" customWidth="1"/>
    <col min="13" max="13" width="1.7109375" style="41" customWidth="1"/>
    <col min="14" max="14" width="9.28515625" style="41" customWidth="1"/>
    <col min="15" max="15" width="1.7109375" style="41" customWidth="1"/>
    <col min="16" max="16" width="15.28515625" style="41" customWidth="1"/>
    <col min="17" max="18" width="9.140625" style="41"/>
    <col min="19" max="19" width="11.140625" style="41" bestFit="1" customWidth="1"/>
    <col min="20" max="16384" width="9.140625" style="41"/>
  </cols>
  <sheetData>
    <row r="1" spans="1:26" s="1" customFormat="1" ht="18.75">
      <c r="A1" s="539" t="s">
        <v>117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100"/>
      <c r="P1" s="100"/>
      <c r="Q1" s="100"/>
      <c r="R1" s="9"/>
      <c r="S1" s="108"/>
      <c r="T1" s="8"/>
      <c r="U1" s="8"/>
      <c r="V1" s="8"/>
      <c r="W1" s="118"/>
      <c r="X1" s="8"/>
      <c r="Y1" s="8"/>
      <c r="Z1" s="8"/>
    </row>
    <row r="2" spans="1:26" s="1" customFormat="1" ht="11.25" customHeight="1" thickBot="1">
      <c r="A2" s="176"/>
      <c r="B2" s="176"/>
      <c r="C2" s="176"/>
      <c r="D2" s="176"/>
      <c r="E2" s="176"/>
      <c r="F2" s="190"/>
      <c r="G2" s="190"/>
      <c r="H2" s="191"/>
      <c r="I2" s="191"/>
      <c r="J2" s="191"/>
      <c r="K2" s="285"/>
      <c r="L2" s="285"/>
      <c r="M2" s="286"/>
      <c r="N2" s="286"/>
      <c r="O2" s="80"/>
      <c r="P2" s="80"/>
      <c r="Q2" s="80"/>
      <c r="R2" s="19"/>
      <c r="S2" s="110"/>
      <c r="T2" s="8"/>
      <c r="U2" s="8"/>
      <c r="V2" s="8"/>
      <c r="W2" s="118"/>
      <c r="X2" s="8"/>
      <c r="Y2" s="8"/>
      <c r="Z2" s="8"/>
    </row>
    <row r="3" spans="1:26" ht="18.75">
      <c r="A3" s="374" t="s">
        <v>250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26" ht="11.45" customHeight="1">
      <c r="A4" s="49" t="s">
        <v>0</v>
      </c>
      <c r="B4" s="49"/>
      <c r="C4" s="49"/>
      <c r="D4" s="547" t="s">
        <v>83</v>
      </c>
      <c r="E4" s="547"/>
      <c r="F4" s="547"/>
      <c r="G4" s="547"/>
      <c r="H4" s="547"/>
      <c r="I4" s="547"/>
      <c r="J4" s="547"/>
      <c r="K4" s="547"/>
      <c r="L4" s="547"/>
      <c r="M4" s="134"/>
      <c r="N4" s="134"/>
      <c r="O4" s="49"/>
      <c r="P4" s="49"/>
    </row>
    <row r="5" spans="1:26" ht="11.45" customHeight="1">
      <c r="A5" s="39"/>
      <c r="B5" s="39"/>
      <c r="C5" s="40"/>
      <c r="D5" s="135" t="s">
        <v>260</v>
      </c>
      <c r="E5" s="135"/>
      <c r="F5" s="136" t="s">
        <v>55</v>
      </c>
      <c r="G5" s="136"/>
      <c r="H5" s="135" t="s">
        <v>54</v>
      </c>
      <c r="I5" s="137"/>
      <c r="J5" s="135"/>
      <c r="K5" s="135" t="s">
        <v>0</v>
      </c>
      <c r="L5" s="136" t="s">
        <v>113</v>
      </c>
      <c r="M5" s="136"/>
      <c r="N5" s="136"/>
      <c r="O5" s="66"/>
      <c r="P5" s="67"/>
      <c r="Q5" s="39"/>
      <c r="R5" s="39"/>
      <c r="S5" s="39"/>
      <c r="V5" s="39"/>
    </row>
    <row r="6" spans="1:26" ht="11.45" customHeight="1">
      <c r="A6" s="39"/>
      <c r="B6" s="39"/>
      <c r="C6" s="40"/>
      <c r="D6" s="138" t="s">
        <v>47</v>
      </c>
      <c r="E6" s="138"/>
      <c r="F6" s="136" t="s">
        <v>52</v>
      </c>
      <c r="G6" s="136"/>
      <c r="H6" s="135" t="s">
        <v>51</v>
      </c>
      <c r="I6" s="137"/>
      <c r="J6" s="135" t="s">
        <v>53</v>
      </c>
      <c r="K6" s="135" t="s">
        <v>0</v>
      </c>
      <c r="L6" s="136" t="s">
        <v>114</v>
      </c>
      <c r="M6" s="136"/>
      <c r="N6" s="136" t="s">
        <v>49</v>
      </c>
      <c r="O6" s="66"/>
      <c r="P6" s="66"/>
      <c r="Q6" s="39"/>
      <c r="R6" s="39"/>
      <c r="S6" s="59"/>
      <c r="V6" s="39"/>
    </row>
    <row r="7" spans="1:26" ht="11.45" customHeight="1">
      <c r="A7" s="133" t="s">
        <v>100</v>
      </c>
      <c r="B7" s="62"/>
      <c r="C7" s="40"/>
      <c r="D7" s="139" t="s">
        <v>48</v>
      </c>
      <c r="E7" s="140"/>
      <c r="F7" s="139" t="s">
        <v>48</v>
      </c>
      <c r="G7" s="141"/>
      <c r="H7" s="139" t="s">
        <v>47</v>
      </c>
      <c r="I7" s="141"/>
      <c r="J7" s="489" t="s">
        <v>50</v>
      </c>
      <c r="K7" s="140" t="s">
        <v>0</v>
      </c>
      <c r="L7" s="139" t="s">
        <v>115</v>
      </c>
      <c r="M7" s="141"/>
      <c r="N7" s="139" t="s">
        <v>46</v>
      </c>
      <c r="O7" s="64"/>
      <c r="P7" s="65"/>
      <c r="Q7" s="39"/>
      <c r="R7" s="39"/>
      <c r="S7" s="59"/>
      <c r="T7" s="39"/>
      <c r="U7" s="39"/>
      <c r="V7" s="39"/>
    </row>
    <row r="8" spans="1:26" s="61" customFormat="1" ht="15" customHeight="1">
      <c r="A8" s="128" t="s">
        <v>184</v>
      </c>
      <c r="B8" s="128"/>
      <c r="C8" s="45"/>
      <c r="D8" s="143">
        <v>104</v>
      </c>
      <c r="E8" s="143">
        <v>0</v>
      </c>
      <c r="F8" s="143">
        <v>-1.1000000000000001</v>
      </c>
      <c r="G8" s="143">
        <v>0</v>
      </c>
      <c r="H8" s="143">
        <v>622.79999999999995</v>
      </c>
      <c r="I8" s="143">
        <v>0</v>
      </c>
      <c r="J8" s="143">
        <v>799.9</v>
      </c>
      <c r="K8" s="143">
        <v>0</v>
      </c>
      <c r="L8" s="143">
        <v>-61.9</v>
      </c>
      <c r="M8" s="143"/>
      <c r="N8" s="144">
        <v>1463.6999999999998</v>
      </c>
      <c r="O8" s="113"/>
      <c r="P8" s="94"/>
      <c r="Q8" s="45"/>
      <c r="R8" s="45"/>
      <c r="S8" s="490"/>
      <c r="T8" s="45"/>
      <c r="U8" s="45"/>
      <c r="V8" s="45"/>
    </row>
    <row r="9" spans="1:26" s="46" customFormat="1" ht="11.45" customHeight="1">
      <c r="A9" s="129"/>
      <c r="B9" s="130" t="s">
        <v>45</v>
      </c>
      <c r="C9" s="47"/>
      <c r="D9" s="145">
        <v>0</v>
      </c>
      <c r="E9" s="145"/>
      <c r="F9" s="145">
        <v>0</v>
      </c>
      <c r="G9" s="145"/>
      <c r="H9" s="145">
        <v>0</v>
      </c>
      <c r="I9" s="145"/>
      <c r="J9" s="145">
        <v>-137.69999999999999</v>
      </c>
      <c r="K9" s="145"/>
      <c r="L9" s="145">
        <v>-45</v>
      </c>
      <c r="M9" s="145"/>
      <c r="N9" s="146">
        <f>SUM(D9:L9)</f>
        <v>-182.7</v>
      </c>
      <c r="O9" s="111"/>
      <c r="P9" s="91"/>
      <c r="Q9" s="63"/>
      <c r="R9" s="48"/>
      <c r="S9" s="127"/>
      <c r="T9" s="48"/>
      <c r="U9" s="48"/>
      <c r="V9" s="48"/>
    </row>
    <row r="10" spans="1:26" s="46" customFormat="1" ht="11.45" customHeight="1">
      <c r="A10" s="129"/>
      <c r="B10" s="130" t="s">
        <v>259</v>
      </c>
      <c r="C10" s="47"/>
      <c r="D10" s="145">
        <v>0</v>
      </c>
      <c r="E10" s="145"/>
      <c r="F10" s="145">
        <v>0.2</v>
      </c>
      <c r="G10" s="145"/>
      <c r="H10" s="145">
        <v>4.7</v>
      </c>
      <c r="I10" s="145" t="s">
        <v>0</v>
      </c>
      <c r="J10" s="145">
        <v>-0.2</v>
      </c>
      <c r="K10" s="145"/>
      <c r="L10" s="145">
        <v>0</v>
      </c>
      <c r="M10" s="145"/>
      <c r="N10" s="146">
        <f>SUM(D10:L10)</f>
        <v>4.7</v>
      </c>
      <c r="O10" s="111"/>
      <c r="P10" s="91"/>
      <c r="Q10" s="63"/>
      <c r="R10" s="48"/>
      <c r="S10" s="48"/>
      <c r="T10" s="48"/>
      <c r="U10" s="48"/>
      <c r="V10" s="48"/>
    </row>
    <row r="11" spans="1:26" s="61" customFormat="1" ht="16.5" customHeight="1">
      <c r="A11" s="132" t="s">
        <v>251</v>
      </c>
      <c r="B11" s="132"/>
      <c r="C11" s="128"/>
      <c r="D11" s="147">
        <f t="shared" ref="D11:N11" si="0">SUM(D8:D10)</f>
        <v>104</v>
      </c>
      <c r="E11" s="147">
        <f t="shared" si="0"/>
        <v>0</v>
      </c>
      <c r="F11" s="147">
        <f t="shared" si="0"/>
        <v>-0.90000000000000013</v>
      </c>
      <c r="G11" s="147">
        <f t="shared" si="0"/>
        <v>0</v>
      </c>
      <c r="H11" s="147">
        <f t="shared" si="0"/>
        <v>627.5</v>
      </c>
      <c r="I11" s="147">
        <f t="shared" si="0"/>
        <v>0</v>
      </c>
      <c r="J11" s="147">
        <f t="shared" si="0"/>
        <v>662</v>
      </c>
      <c r="K11" s="147">
        <f t="shared" si="0"/>
        <v>0</v>
      </c>
      <c r="L11" s="147">
        <f t="shared" si="0"/>
        <v>-106.9</v>
      </c>
      <c r="M11" s="147">
        <f t="shared" si="0"/>
        <v>0</v>
      </c>
      <c r="N11" s="147">
        <f t="shared" si="0"/>
        <v>1285.6999999999998</v>
      </c>
      <c r="O11" s="94"/>
      <c r="P11" s="93"/>
      <c r="Q11" s="45"/>
      <c r="R11" s="45"/>
      <c r="S11" s="45"/>
      <c r="T11" s="45"/>
      <c r="U11" s="45"/>
      <c r="V11" s="45"/>
    </row>
    <row r="12" spans="1:26" s="117" customFormat="1" ht="11.45" customHeight="1">
      <c r="A12" s="79"/>
      <c r="B12" s="116"/>
      <c r="C12" s="116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116"/>
      <c r="R12" s="116"/>
      <c r="S12" s="116"/>
      <c r="T12" s="116"/>
      <c r="U12" s="116"/>
      <c r="V12" s="116"/>
    </row>
    <row r="13" spans="1:26" s="61" customFormat="1" ht="11.45" customHeight="1">
      <c r="A13" s="374" t="s">
        <v>252</v>
      </c>
      <c r="B13" s="45"/>
      <c r="C13" s="45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45"/>
      <c r="R13" s="45"/>
      <c r="S13" s="45"/>
      <c r="T13" s="45"/>
      <c r="U13" s="45"/>
      <c r="V13" s="45"/>
    </row>
    <row r="14" spans="1:26" ht="11.45" customHeight="1">
      <c r="A14" s="49" t="s">
        <v>0</v>
      </c>
      <c r="B14" s="49"/>
      <c r="C14" s="49"/>
      <c r="D14" s="547" t="s">
        <v>83</v>
      </c>
      <c r="E14" s="547"/>
      <c r="F14" s="547"/>
      <c r="G14" s="547"/>
      <c r="H14" s="547"/>
      <c r="I14" s="547"/>
      <c r="J14" s="547"/>
      <c r="K14" s="547"/>
      <c r="L14" s="547"/>
      <c r="M14" s="134"/>
      <c r="N14" s="134"/>
      <c r="O14" s="49"/>
      <c r="P14" s="49"/>
    </row>
    <row r="15" spans="1:26" ht="11.45" customHeight="1">
      <c r="A15" s="39"/>
      <c r="B15" s="39"/>
      <c r="C15" s="40"/>
      <c r="D15" s="135" t="s">
        <v>260</v>
      </c>
      <c r="E15" s="135"/>
      <c r="F15" s="136" t="s">
        <v>55</v>
      </c>
      <c r="G15" s="136"/>
      <c r="H15" s="135" t="s">
        <v>54</v>
      </c>
      <c r="I15" s="137"/>
      <c r="J15" s="135"/>
      <c r="K15" s="135" t="s">
        <v>0</v>
      </c>
      <c r="L15" s="136" t="s">
        <v>113</v>
      </c>
      <c r="M15" s="136"/>
      <c r="N15" s="136"/>
      <c r="O15" s="66"/>
      <c r="P15" s="67"/>
      <c r="Q15" s="39"/>
      <c r="R15" s="39"/>
      <c r="S15" s="39"/>
      <c r="V15" s="39"/>
    </row>
    <row r="16" spans="1:26" ht="11.45" customHeight="1">
      <c r="A16" s="39"/>
      <c r="B16" s="39"/>
      <c r="C16" s="40"/>
      <c r="D16" s="138" t="s">
        <v>47</v>
      </c>
      <c r="E16" s="138"/>
      <c r="F16" s="136" t="s">
        <v>52</v>
      </c>
      <c r="G16" s="136"/>
      <c r="H16" s="135" t="s">
        <v>51</v>
      </c>
      <c r="I16" s="137"/>
      <c r="J16" s="135" t="s">
        <v>53</v>
      </c>
      <c r="K16" s="135" t="s">
        <v>0</v>
      </c>
      <c r="L16" s="136" t="s">
        <v>114</v>
      </c>
      <c r="M16" s="136"/>
      <c r="N16" s="136" t="s">
        <v>49</v>
      </c>
      <c r="O16" s="66"/>
      <c r="P16" s="66"/>
      <c r="Q16" s="39"/>
      <c r="R16" s="39"/>
      <c r="S16" s="119"/>
      <c r="V16" s="39"/>
    </row>
    <row r="17" spans="1:22" ht="11.45" customHeight="1">
      <c r="A17" s="133" t="s">
        <v>100</v>
      </c>
      <c r="B17" s="62"/>
      <c r="C17" s="40"/>
      <c r="D17" s="139" t="s">
        <v>48</v>
      </c>
      <c r="E17" s="140"/>
      <c r="F17" s="139" t="s">
        <v>48</v>
      </c>
      <c r="G17" s="141"/>
      <c r="H17" s="139" t="s">
        <v>47</v>
      </c>
      <c r="I17" s="141"/>
      <c r="J17" s="142" t="s">
        <v>50</v>
      </c>
      <c r="K17" s="140" t="s">
        <v>0</v>
      </c>
      <c r="L17" s="139" t="s">
        <v>115</v>
      </c>
      <c r="M17" s="141"/>
      <c r="N17" s="139" t="s">
        <v>46</v>
      </c>
      <c r="O17" s="64"/>
      <c r="P17" s="65"/>
      <c r="Q17" s="39"/>
      <c r="R17" s="39"/>
      <c r="S17" s="119"/>
      <c r="T17" s="39"/>
      <c r="U17" s="39"/>
      <c r="V17" s="39"/>
    </row>
    <row r="18" spans="1:22" s="61" customFormat="1" ht="14.25" customHeight="1">
      <c r="A18" s="128" t="s">
        <v>238</v>
      </c>
      <c r="B18" s="128"/>
      <c r="C18" s="128"/>
      <c r="D18" s="143">
        <v>133.69999999999999</v>
      </c>
      <c r="E18" s="143">
        <v>0</v>
      </c>
      <c r="F18" s="143">
        <v>-0.8</v>
      </c>
      <c r="G18" s="143">
        <v>0</v>
      </c>
      <c r="H18" s="143">
        <v>816.3</v>
      </c>
      <c r="I18" s="143">
        <v>0</v>
      </c>
      <c r="J18" s="143">
        <v>505.7</v>
      </c>
      <c r="K18" s="143">
        <v>0</v>
      </c>
      <c r="L18" s="143">
        <v>-95.5</v>
      </c>
      <c r="M18" s="144"/>
      <c r="N18" s="144">
        <f>SUM(D18:L18)</f>
        <v>1359.3999999999999</v>
      </c>
      <c r="O18" s="94"/>
      <c r="P18" s="93"/>
      <c r="Q18" s="93"/>
      <c r="R18" s="93"/>
      <c r="S18" s="93"/>
      <c r="T18" s="45"/>
      <c r="U18" s="45"/>
      <c r="V18" s="45"/>
    </row>
    <row r="19" spans="1:22" s="46" customFormat="1" ht="11.45" customHeight="1">
      <c r="A19" s="129"/>
      <c r="B19" s="130" t="s">
        <v>45</v>
      </c>
      <c r="C19" s="129"/>
      <c r="D19" s="146">
        <v>0</v>
      </c>
      <c r="E19" s="146"/>
      <c r="F19" s="146">
        <v>0</v>
      </c>
      <c r="G19" s="146"/>
      <c r="H19" s="146">
        <v>0</v>
      </c>
      <c r="I19" s="146"/>
      <c r="J19" s="146">
        <f>'IS &amp; OCI'!J23</f>
        <v>-328.56698099999994</v>
      </c>
      <c r="K19" s="146"/>
      <c r="L19" s="146">
        <f>'IS &amp; OCI'!J28</f>
        <v>7.0999999999999979</v>
      </c>
      <c r="M19" s="146"/>
      <c r="N19" s="146">
        <f>SUM(D19:L19)</f>
        <v>-321.46698099999992</v>
      </c>
      <c r="O19" s="91"/>
      <c r="P19" s="91"/>
      <c r="Q19" s="91"/>
      <c r="R19" s="91"/>
      <c r="S19" s="91"/>
      <c r="T19" s="48"/>
      <c r="U19" s="48"/>
      <c r="V19" s="48"/>
    </row>
    <row r="20" spans="1:22" s="46" customFormat="1" ht="11.45" customHeight="1">
      <c r="A20" s="129"/>
      <c r="B20" s="130" t="s">
        <v>212</v>
      </c>
      <c r="C20" s="47"/>
      <c r="D20" s="145">
        <v>4.8</v>
      </c>
      <c r="E20" s="145"/>
      <c r="F20" s="145">
        <v>0</v>
      </c>
      <c r="G20" s="145"/>
      <c r="H20" s="145">
        <v>30.6</v>
      </c>
      <c r="I20" s="145"/>
      <c r="J20" s="145">
        <v>0</v>
      </c>
      <c r="K20" s="145"/>
      <c r="L20" s="145">
        <v>0</v>
      </c>
      <c r="M20" s="145"/>
      <c r="N20" s="146">
        <f t="shared" ref="N20" si="1">SUM(D20:L20)</f>
        <v>35.4</v>
      </c>
      <c r="O20" s="111"/>
      <c r="P20" s="91"/>
      <c r="Q20" s="91"/>
      <c r="R20" s="91"/>
      <c r="S20" s="91"/>
      <c r="T20" s="48"/>
      <c r="U20" s="48"/>
      <c r="V20" s="48"/>
    </row>
    <row r="21" spans="1:22" s="46" customFormat="1" ht="11.45" customHeight="1">
      <c r="A21" s="129"/>
      <c r="B21" s="131" t="s">
        <v>259</v>
      </c>
      <c r="C21" s="129"/>
      <c r="D21" s="146">
        <v>0</v>
      </c>
      <c r="E21" s="146"/>
      <c r="F21" s="146">
        <v>0.8</v>
      </c>
      <c r="G21" s="146"/>
      <c r="H21" s="146">
        <f>1.4+1.4+1</f>
        <v>3.8</v>
      </c>
      <c r="I21" s="146" t="s">
        <v>0</v>
      </c>
      <c r="J21" s="146">
        <v>-0.8</v>
      </c>
      <c r="K21" s="146"/>
      <c r="L21" s="146">
        <v>0</v>
      </c>
      <c r="M21" s="146"/>
      <c r="N21" s="146">
        <f t="shared" ref="N21" si="2">SUM(D21:L21)</f>
        <v>3.8</v>
      </c>
      <c r="O21" s="91"/>
      <c r="P21" s="91"/>
      <c r="Q21" s="91"/>
      <c r="R21" s="91"/>
      <c r="S21" s="91"/>
      <c r="T21" s="48"/>
      <c r="U21" s="48"/>
      <c r="V21" s="48"/>
    </row>
    <row r="22" spans="1:22" s="61" customFormat="1" ht="14.25" customHeight="1">
      <c r="A22" s="132" t="s">
        <v>253</v>
      </c>
      <c r="B22" s="132"/>
      <c r="C22" s="128"/>
      <c r="D22" s="147">
        <f t="shared" ref="D22:L22" si="3">SUM(D18:D21)</f>
        <v>138.5</v>
      </c>
      <c r="E22" s="147">
        <f t="shared" si="3"/>
        <v>0</v>
      </c>
      <c r="F22" s="147">
        <f t="shared" si="3"/>
        <v>0</v>
      </c>
      <c r="G22" s="147">
        <f t="shared" si="3"/>
        <v>0</v>
      </c>
      <c r="H22" s="147">
        <f t="shared" si="3"/>
        <v>850.69999999999993</v>
      </c>
      <c r="I22" s="147">
        <f t="shared" si="3"/>
        <v>0</v>
      </c>
      <c r="J22" s="147">
        <f t="shared" si="3"/>
        <v>176.33301900000004</v>
      </c>
      <c r="K22" s="147">
        <f t="shared" si="3"/>
        <v>0</v>
      </c>
      <c r="L22" s="147">
        <f t="shared" si="3"/>
        <v>-88.4</v>
      </c>
      <c r="M22" s="144"/>
      <c r="N22" s="147">
        <f>SUM(D22:L22)</f>
        <v>1077.1330189999999</v>
      </c>
      <c r="O22" s="94"/>
      <c r="P22" s="93"/>
      <c r="Q22" s="93"/>
      <c r="R22" s="93"/>
      <c r="S22" s="93"/>
      <c r="T22" s="45"/>
      <c r="U22" s="45"/>
      <c r="V22" s="45"/>
    </row>
    <row r="23" spans="1:22" s="61" customFormat="1" ht="11.45" customHeight="1">
      <c r="A23" s="475" t="s">
        <v>241</v>
      </c>
      <c r="B23" s="128"/>
      <c r="C23" s="128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7"/>
      <c r="P23" s="477"/>
      <c r="Q23" s="477"/>
      <c r="R23" s="477"/>
      <c r="S23" s="477"/>
      <c r="T23" s="45"/>
      <c r="U23" s="45"/>
      <c r="V23" s="45"/>
    </row>
  </sheetData>
  <mergeCells count="3">
    <mergeCell ref="D4:L4"/>
    <mergeCell ref="D14:L14"/>
    <mergeCell ref="A1:N1"/>
  </mergeCells>
  <pageMargins left="0.5" right="0.25" top="0.39369999999999999" bottom="0.25" header="0.31490000000000001" footer="0.23619999999999999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290"/>
  <sheetViews>
    <sheetView showGridLines="0" zoomScale="110" zoomScaleNormal="110" zoomScaleSheetLayoutView="80" workbookViewId="0">
      <selection activeCell="B1" sqref="B1"/>
    </sheetView>
  </sheetViews>
  <sheetFormatPr defaultColWidth="9.140625" defaultRowHeight="12.75"/>
  <cols>
    <col min="1" max="1" width="2.5703125" style="39" customWidth="1"/>
    <col min="2" max="2" width="59.140625" style="39" customWidth="1"/>
    <col min="3" max="3" width="1.7109375" style="39" customWidth="1"/>
    <col min="4" max="4" width="10.7109375" style="39" customWidth="1"/>
    <col min="5" max="5" width="1.7109375" style="39" customWidth="1"/>
    <col min="6" max="6" width="11.7109375" style="39" customWidth="1"/>
    <col min="7" max="7" width="1.7109375" style="39" customWidth="1"/>
    <col min="8" max="8" width="12.140625" style="39" customWidth="1"/>
    <col min="9" max="9" width="1.7109375" style="39" customWidth="1"/>
    <col min="10" max="10" width="13.7109375" style="39" customWidth="1"/>
    <col min="11" max="11" width="1.7109375" style="39" customWidth="1"/>
    <col min="12" max="12" width="12.42578125" style="39" customWidth="1"/>
    <col min="13" max="13" width="2.5703125" style="39" customWidth="1"/>
    <col min="14" max="14" width="13.140625" style="39" customWidth="1"/>
    <col min="15" max="15" width="3.140625" style="39" customWidth="1"/>
    <col min="16" max="16" width="1.7109375" style="364" customWidth="1"/>
    <col min="17" max="18" width="9.140625" style="39" customWidth="1"/>
    <col min="19" max="16384" width="9.140625" style="39"/>
  </cols>
  <sheetData>
    <row r="1" spans="1:26" s="1" customFormat="1" ht="18.75">
      <c r="A1" s="373" t="s">
        <v>255</v>
      </c>
      <c r="B1" s="372"/>
      <c r="C1" s="372"/>
      <c r="D1" s="372"/>
      <c r="E1" s="372"/>
      <c r="F1" s="372"/>
      <c r="G1" s="372"/>
      <c r="H1" s="372"/>
      <c r="I1" s="372"/>
      <c r="J1" s="491"/>
      <c r="K1" s="491"/>
      <c r="L1" s="491"/>
      <c r="M1" s="491"/>
      <c r="N1" s="372"/>
      <c r="O1" s="372"/>
      <c r="P1" s="372"/>
      <c r="Q1" s="100"/>
      <c r="R1" s="9"/>
      <c r="S1" s="108"/>
      <c r="T1" s="8"/>
      <c r="U1" s="8"/>
      <c r="V1" s="8"/>
      <c r="W1" s="118"/>
      <c r="X1" s="8"/>
      <c r="Y1" s="8"/>
      <c r="Z1" s="8"/>
    </row>
    <row r="2" spans="1:26" s="1" customFormat="1" ht="13.5" customHeight="1" thickBot="1">
      <c r="A2" s="176" t="s">
        <v>0</v>
      </c>
      <c r="B2" s="176"/>
      <c r="C2" s="176"/>
      <c r="D2" s="176"/>
      <c r="E2" s="176"/>
      <c r="F2" s="190"/>
      <c r="G2" s="190"/>
      <c r="H2" s="191"/>
      <c r="I2" s="176"/>
      <c r="J2" s="176"/>
      <c r="K2" s="176"/>
      <c r="L2" s="176"/>
      <c r="M2" s="176"/>
      <c r="N2" s="190"/>
      <c r="O2" s="191"/>
      <c r="P2" s="355"/>
      <c r="Q2" s="80"/>
      <c r="R2" s="19"/>
      <c r="S2" s="110"/>
      <c r="T2" s="8"/>
      <c r="U2" s="8"/>
      <c r="V2" s="8"/>
      <c r="W2" s="118"/>
      <c r="X2" s="8"/>
      <c r="Y2" s="8"/>
      <c r="Z2" s="8"/>
    </row>
    <row r="3" spans="1:26" s="1" customFormat="1" ht="11.25" customHeight="1">
      <c r="A3" s="323"/>
      <c r="B3" s="323"/>
      <c r="C3" s="323"/>
      <c r="D3" s="323"/>
      <c r="E3" s="323"/>
      <c r="F3" s="324"/>
      <c r="G3" s="324"/>
      <c r="H3" s="325"/>
      <c r="I3" s="323"/>
      <c r="J3" s="493"/>
      <c r="K3" s="493"/>
      <c r="L3" s="493"/>
      <c r="M3" s="493"/>
      <c r="N3" s="324"/>
      <c r="O3" s="325"/>
      <c r="P3" s="356"/>
      <c r="Q3" s="80"/>
      <c r="R3" s="19"/>
      <c r="S3" s="110"/>
      <c r="T3" s="8"/>
      <c r="U3" s="8"/>
      <c r="V3" s="8"/>
      <c r="W3" s="118"/>
      <c r="X3" s="8"/>
      <c r="Y3" s="8"/>
      <c r="Z3" s="8"/>
    </row>
    <row r="4" spans="1:26" s="1" customFormat="1" ht="11.25" customHeight="1">
      <c r="A4" s="323"/>
      <c r="B4" s="323"/>
      <c r="C4" s="323"/>
      <c r="D4" s="323"/>
      <c r="E4" s="323"/>
      <c r="F4" s="324"/>
      <c r="G4" s="324"/>
      <c r="H4" s="325"/>
      <c r="I4" s="323"/>
      <c r="J4" s="493"/>
      <c r="K4" s="493"/>
      <c r="L4" s="493"/>
      <c r="M4" s="493"/>
      <c r="N4" s="324"/>
      <c r="O4" s="325"/>
      <c r="P4" s="356"/>
      <c r="Q4" s="80"/>
      <c r="R4" s="19"/>
      <c r="S4" s="110"/>
      <c r="T4" s="8"/>
      <c r="U4" s="8"/>
      <c r="V4" s="8"/>
      <c r="W4" s="118"/>
      <c r="X4" s="8"/>
      <c r="Y4" s="8"/>
      <c r="Z4" s="8"/>
    </row>
    <row r="5" spans="1:26" s="1" customFormat="1" ht="14.25" customHeight="1" thickBot="1">
      <c r="A5" s="329" t="s">
        <v>233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357"/>
      <c r="Q5" s="80"/>
      <c r="R5" s="19"/>
      <c r="S5" s="110"/>
      <c r="T5" s="8"/>
      <c r="U5" s="8"/>
      <c r="V5" s="8"/>
      <c r="W5" s="118"/>
      <c r="X5" s="8"/>
      <c r="Y5" s="8"/>
      <c r="Z5" s="8"/>
    </row>
    <row r="6" spans="1:26" s="1" customFormat="1" ht="11.25" customHeight="1">
      <c r="A6" s="210"/>
      <c r="B6" s="210"/>
      <c r="C6" s="210"/>
      <c r="D6" s="210"/>
      <c r="E6" s="210"/>
      <c r="F6" s="554" t="s">
        <v>5</v>
      </c>
      <c r="G6" s="554"/>
      <c r="H6" s="554"/>
      <c r="I6" s="210"/>
      <c r="J6" s="134"/>
      <c r="K6" s="134" t="s">
        <v>254</v>
      </c>
      <c r="L6" s="134"/>
      <c r="M6" s="210"/>
      <c r="N6" s="480" t="s">
        <v>20</v>
      </c>
      <c r="O6" s="368"/>
      <c r="P6" s="358"/>
      <c r="Q6" s="80"/>
      <c r="R6" s="19"/>
      <c r="S6" s="110"/>
      <c r="T6" s="8"/>
      <c r="U6" s="8"/>
      <c r="V6" s="8"/>
      <c r="W6" s="118"/>
      <c r="X6" s="8"/>
      <c r="Y6" s="8"/>
      <c r="Z6" s="8"/>
    </row>
    <row r="7" spans="1:26" s="1" customFormat="1" ht="11.25" customHeight="1">
      <c r="A7" s="210"/>
      <c r="B7" s="210"/>
      <c r="C7" s="210"/>
      <c r="D7" s="210"/>
      <c r="E7" s="210"/>
      <c r="F7" s="549" t="s">
        <v>249</v>
      </c>
      <c r="G7" s="549"/>
      <c r="H7" s="549"/>
      <c r="I7" s="210"/>
      <c r="J7" s="134"/>
      <c r="K7" s="494" t="s">
        <v>249</v>
      </c>
      <c r="L7" s="134"/>
      <c r="M7" s="210"/>
      <c r="N7" s="478" t="s">
        <v>1</v>
      </c>
      <c r="O7" s="367"/>
      <c r="P7" s="358"/>
      <c r="Q7" s="80"/>
      <c r="R7" s="19"/>
      <c r="S7" s="110"/>
      <c r="T7" s="8"/>
      <c r="U7" s="8"/>
      <c r="V7" s="8"/>
      <c r="W7" s="118"/>
      <c r="X7" s="8"/>
      <c r="Y7" s="8"/>
      <c r="Z7" s="8"/>
    </row>
    <row r="8" spans="1:26" s="1" customFormat="1" ht="11.25" customHeight="1">
      <c r="A8" s="212" t="s">
        <v>168</v>
      </c>
      <c r="B8" s="213"/>
      <c r="C8" s="213"/>
      <c r="D8" s="213"/>
      <c r="E8" s="210"/>
      <c r="F8" s="268">
        <v>2017</v>
      </c>
      <c r="G8" s="214"/>
      <c r="H8" s="215">
        <v>2016</v>
      </c>
      <c r="I8" s="210"/>
      <c r="J8" s="375">
        <v>2017</v>
      </c>
      <c r="K8" s="129"/>
      <c r="L8" s="375">
        <v>2016</v>
      </c>
      <c r="M8" s="210"/>
      <c r="N8" s="215">
        <v>2016</v>
      </c>
      <c r="O8" s="214"/>
      <c r="P8" s="359"/>
      <c r="Q8" s="80"/>
      <c r="R8" s="19"/>
      <c r="S8" s="110"/>
      <c r="T8" s="8"/>
      <c r="U8" s="8"/>
      <c r="V8" s="8"/>
      <c r="W8" s="118"/>
      <c r="X8" s="8"/>
      <c r="Y8" s="8"/>
      <c r="Z8" s="8"/>
    </row>
    <row r="9" spans="1:26" s="1" customFormat="1" ht="11.25" customHeight="1">
      <c r="A9" s="211" t="s">
        <v>0</v>
      </c>
      <c r="B9" s="130" t="s">
        <v>169</v>
      </c>
      <c r="C9" s="130"/>
      <c r="D9" s="130"/>
      <c r="E9" s="210"/>
      <c r="F9" s="217">
        <f>F36</f>
        <v>207.572</v>
      </c>
      <c r="G9" s="156"/>
      <c r="H9" s="217">
        <v>224.1</v>
      </c>
      <c r="I9" s="210"/>
      <c r="J9" s="502">
        <f>395.3+F9</f>
        <v>602.87200000000007</v>
      </c>
      <c r="K9" s="210"/>
      <c r="L9" s="217">
        <v>610.20000000000005</v>
      </c>
      <c r="M9" s="210"/>
      <c r="N9" s="217">
        <v>764.3</v>
      </c>
      <c r="O9" s="156"/>
      <c r="P9" s="360"/>
      <c r="Q9" s="80"/>
      <c r="R9" s="19"/>
      <c r="S9" s="110"/>
      <c r="T9" s="8"/>
      <c r="U9" s="8"/>
      <c r="V9" s="8"/>
      <c r="W9" s="118"/>
      <c r="X9" s="8"/>
      <c r="Y9" s="8"/>
      <c r="Z9" s="8"/>
    </row>
    <row r="10" spans="1:26" s="1" customFormat="1" ht="11.25" customHeight="1">
      <c r="A10" s="211"/>
      <c r="B10" s="334" t="s">
        <v>207</v>
      </c>
      <c r="C10" s="129"/>
      <c r="D10" s="129"/>
      <c r="E10" s="210"/>
      <c r="F10" s="336">
        <f>'IS &amp; OCI'!F7+SUM('IS &amp; OCI'!F9:F11)</f>
        <v>108.565</v>
      </c>
      <c r="G10" s="216"/>
      <c r="H10" s="217">
        <v>112.7</v>
      </c>
      <c r="I10" s="210"/>
      <c r="J10" s="336">
        <f>'IS &amp; OCI'!J7+SUM('IS &amp; OCI'!J9:J11)</f>
        <v>251.26500000000004</v>
      </c>
      <c r="K10" s="210"/>
      <c r="L10" s="217">
        <v>260.2</v>
      </c>
      <c r="M10" s="210"/>
      <c r="N10" s="217">
        <v>313.3</v>
      </c>
      <c r="O10" s="216"/>
      <c r="P10" s="336"/>
      <c r="Q10" s="80"/>
      <c r="R10" s="19"/>
      <c r="S10" s="110"/>
      <c r="T10" s="8"/>
      <c r="U10" s="8"/>
      <c r="V10" s="8"/>
      <c r="W10" s="118"/>
      <c r="X10" s="8"/>
      <c r="Y10" s="8"/>
      <c r="Z10" s="8"/>
    </row>
    <row r="11" spans="1:26" s="1" customFormat="1" ht="11.25" customHeight="1">
      <c r="A11" s="211"/>
      <c r="B11" s="130" t="s">
        <v>223</v>
      </c>
      <c r="C11" s="130"/>
      <c r="D11" s="130"/>
      <c r="E11" s="210"/>
      <c r="F11" s="336">
        <f>'IS &amp; OCI'!F17-'IS &amp; OCI'!F14-F72-'IS &amp; OCI'!F15</f>
        <v>-30.417000000000019</v>
      </c>
      <c r="G11" s="345"/>
      <c r="H11" s="217">
        <v>-5.4</v>
      </c>
      <c r="I11" s="332"/>
      <c r="J11" s="336">
        <f>'IS &amp; OCI'!J17-'IS &amp; OCI'!J14-J72-'IS &amp; OCI'!J15</f>
        <v>-122.6169999999999</v>
      </c>
      <c r="K11" s="332"/>
      <c r="L11" s="217">
        <v>-71.900000000000006</v>
      </c>
      <c r="M11" s="332"/>
      <c r="N11" s="217">
        <f>'IS &amp; OCI'!N17-'IS &amp; OCI'!N14-N72-'IS &amp; OCI'!N15+0.1</f>
        <v>-137.50000000000009</v>
      </c>
      <c r="O11" s="345"/>
      <c r="P11" s="361"/>
      <c r="Q11" s="80"/>
      <c r="R11" s="19"/>
      <c r="S11" s="110"/>
      <c r="T11" s="8"/>
      <c r="U11" s="8"/>
      <c r="V11" s="8"/>
      <c r="W11" s="118"/>
      <c r="X11" s="8"/>
      <c r="Y11" s="8"/>
      <c r="Z11" s="8"/>
    </row>
    <row r="12" spans="1:26" s="1" customFormat="1" ht="11.25" customHeight="1">
      <c r="A12" s="210"/>
      <c r="B12" s="129" t="s">
        <v>170</v>
      </c>
      <c r="C12" s="129"/>
      <c r="D12" s="129"/>
      <c r="E12" s="210"/>
      <c r="F12" s="336">
        <f>'IS &amp; OCI'!F17</f>
        <v>-113.33109100000001</v>
      </c>
      <c r="G12" s="218"/>
      <c r="H12" s="217">
        <v>-11.5</v>
      </c>
      <c r="I12" s="210"/>
      <c r="J12" s="502">
        <f>-111.1+F12</f>
        <v>-224.43109100000001</v>
      </c>
      <c r="K12" s="210"/>
      <c r="L12" s="217">
        <v>-87.8</v>
      </c>
      <c r="M12" s="210"/>
      <c r="N12" s="217">
        <v>-180.3</v>
      </c>
      <c r="O12" s="218"/>
      <c r="P12" s="361"/>
      <c r="Q12" s="80"/>
      <c r="R12" s="19"/>
      <c r="S12" s="110"/>
      <c r="T12" s="8"/>
      <c r="U12" s="8"/>
      <c r="V12" s="8"/>
      <c r="W12" s="118"/>
      <c r="X12" s="8"/>
      <c r="Y12" s="8"/>
      <c r="Z12" s="8"/>
    </row>
    <row r="13" spans="1:26" s="1" customFormat="1" ht="11.25" customHeight="1">
      <c r="A13" s="365"/>
      <c r="B13" s="129" t="s">
        <v>194</v>
      </c>
      <c r="C13" s="129"/>
      <c r="D13" s="129"/>
      <c r="E13" s="210"/>
      <c r="F13" s="336">
        <f>'IS &amp; OCI'!F21</f>
        <v>-136.114981</v>
      </c>
      <c r="G13" s="218"/>
      <c r="H13" s="217">
        <v>-24.2</v>
      </c>
      <c r="I13" s="210"/>
      <c r="J13" s="502">
        <f>-140.5+F13</f>
        <v>-276.614981</v>
      </c>
      <c r="K13" s="210"/>
      <c r="L13" s="217">
        <v>-143.9</v>
      </c>
      <c r="M13" s="210"/>
      <c r="N13" s="217">
        <v>-262.8</v>
      </c>
      <c r="O13" s="218"/>
      <c r="P13" s="361"/>
      <c r="Q13" s="80"/>
      <c r="R13" s="19"/>
      <c r="S13" s="110"/>
      <c r="T13" s="8"/>
      <c r="U13" s="8"/>
      <c r="V13" s="8"/>
      <c r="W13" s="118"/>
      <c r="X13" s="8"/>
      <c r="Y13" s="8"/>
      <c r="Z13" s="8"/>
    </row>
    <row r="14" spans="1:26" s="1" customFormat="1" ht="11.25" customHeight="1">
      <c r="A14" s="210"/>
      <c r="B14" s="129" t="s">
        <v>196</v>
      </c>
      <c r="C14" s="129"/>
      <c r="D14" s="129"/>
      <c r="E14" s="210"/>
      <c r="F14" s="336">
        <f>'IS &amp; OCI'!F23</f>
        <v>-189.85098099999999</v>
      </c>
      <c r="G14" s="218"/>
      <c r="H14" s="217">
        <v>-29</v>
      </c>
      <c r="I14" s="210"/>
      <c r="J14" s="502">
        <f>-138.7+F14</f>
        <v>-328.55098099999998</v>
      </c>
      <c r="K14" s="210"/>
      <c r="L14" s="217">
        <v>-137.69999999999999</v>
      </c>
      <c r="M14" s="210"/>
      <c r="N14" s="217">
        <v>-293.89999999999998</v>
      </c>
      <c r="O14" s="218"/>
      <c r="P14" s="361"/>
      <c r="Q14" s="80"/>
      <c r="R14" s="19"/>
      <c r="S14" s="110"/>
      <c r="T14" s="8"/>
      <c r="U14" s="8"/>
      <c r="V14" s="8"/>
      <c r="W14" s="118"/>
      <c r="X14" s="8"/>
      <c r="Y14" s="8"/>
      <c r="Z14" s="8"/>
    </row>
    <row r="15" spans="1:26" s="1" customFormat="1" ht="11.25" customHeight="1">
      <c r="A15" s="210"/>
      <c r="B15" s="129" t="s">
        <v>171</v>
      </c>
      <c r="C15" s="129"/>
      <c r="D15" s="129"/>
      <c r="E15" s="210"/>
      <c r="F15" s="343">
        <f>F243</f>
        <v>-0.56000000000000005</v>
      </c>
      <c r="G15" s="328"/>
      <c r="H15" s="369">
        <v>-0.12</v>
      </c>
      <c r="I15" s="210"/>
      <c r="J15" s="506">
        <f>-0.42+F15+0.01</f>
        <v>-0.97</v>
      </c>
      <c r="K15" s="210"/>
      <c r="L15" s="369">
        <v>-0.57999999999999996</v>
      </c>
      <c r="M15" s="210"/>
      <c r="N15" s="369">
        <v>-1.21</v>
      </c>
      <c r="O15" s="328"/>
      <c r="P15" s="362"/>
      <c r="Q15" s="80"/>
      <c r="R15" s="19"/>
      <c r="S15" s="110"/>
      <c r="T15" s="8"/>
      <c r="U15" s="8"/>
      <c r="V15" s="8"/>
      <c r="W15" s="118"/>
      <c r="X15" s="8"/>
      <c r="Y15" s="8"/>
      <c r="Z15" s="8"/>
    </row>
    <row r="16" spans="1:26" s="1" customFormat="1" ht="11.25" customHeight="1">
      <c r="A16" s="210"/>
      <c r="B16" s="129" t="s">
        <v>160</v>
      </c>
      <c r="C16" s="129"/>
      <c r="D16" s="129"/>
      <c r="E16" s="210"/>
      <c r="F16" s="336">
        <f>CF!E19</f>
        <v>118.36090899999998</v>
      </c>
      <c r="G16" s="218"/>
      <c r="H16" s="217">
        <v>80.400000000000006</v>
      </c>
      <c r="I16" s="210"/>
      <c r="J16" s="502">
        <f>79.4+F16</f>
        <v>197.76090899999997</v>
      </c>
      <c r="K16" s="210"/>
      <c r="L16" s="217">
        <v>256.2</v>
      </c>
      <c r="M16" s="210"/>
      <c r="N16" s="217">
        <v>320.89999999999998</v>
      </c>
      <c r="O16" s="218"/>
      <c r="P16" s="361"/>
      <c r="Q16" s="80"/>
      <c r="R16" s="19"/>
      <c r="S16" s="110"/>
      <c r="T16" s="8"/>
      <c r="U16" s="8"/>
      <c r="V16" s="8"/>
      <c r="W16" s="118"/>
      <c r="X16" s="8"/>
      <c r="Y16" s="8"/>
      <c r="Z16" s="8"/>
    </row>
    <row r="17" spans="1:26" s="1" customFormat="1" ht="11.25" customHeight="1">
      <c r="A17" s="210"/>
      <c r="B17" s="129" t="s">
        <v>172</v>
      </c>
      <c r="C17" s="129"/>
      <c r="D17" s="129"/>
      <c r="E17" s="210"/>
      <c r="F17" s="217">
        <f>-CF!E20</f>
        <v>82</v>
      </c>
      <c r="G17" s="218"/>
      <c r="H17" s="217">
        <v>63</v>
      </c>
      <c r="I17" s="210"/>
      <c r="J17" s="502">
        <f>77.4+F17</f>
        <v>159.4</v>
      </c>
      <c r="K17" s="210"/>
      <c r="L17" s="217">
        <v>153.1</v>
      </c>
      <c r="M17" s="210"/>
      <c r="N17" s="217">
        <v>201</v>
      </c>
      <c r="O17" s="218"/>
      <c r="P17" s="361"/>
      <c r="Q17" s="80"/>
      <c r="R17" s="19"/>
      <c r="S17" s="110"/>
      <c r="T17" s="8"/>
      <c r="U17" s="8"/>
      <c r="V17" s="8"/>
      <c r="W17" s="118"/>
      <c r="X17" s="8"/>
      <c r="Y17" s="8"/>
      <c r="Z17" s="8"/>
    </row>
    <row r="18" spans="1:26" s="1" customFormat="1" ht="11.25" customHeight="1">
      <c r="A18" s="210"/>
      <c r="B18" s="129" t="s">
        <v>173</v>
      </c>
      <c r="C18" s="129"/>
      <c r="D18" s="129"/>
      <c r="E18" s="210"/>
      <c r="F18" s="336">
        <f>F157</f>
        <v>16.587</v>
      </c>
      <c r="G18" s="345"/>
      <c r="H18" s="217">
        <v>19</v>
      </c>
      <c r="I18" s="332"/>
      <c r="J18" s="505">
        <f>114.5+F18</f>
        <v>131.08699999999999</v>
      </c>
      <c r="K18" s="332"/>
      <c r="L18" s="217">
        <v>179.9</v>
      </c>
      <c r="M18" s="332"/>
      <c r="N18" s="217">
        <v>208.6</v>
      </c>
      <c r="O18" s="218"/>
      <c r="P18" s="361"/>
      <c r="Q18" s="80"/>
      <c r="R18" s="19"/>
      <c r="S18" s="110"/>
      <c r="T18" s="8"/>
      <c r="U18" s="8"/>
      <c r="V18" s="8"/>
      <c r="W18" s="118"/>
      <c r="X18" s="8"/>
      <c r="Y18" s="8"/>
      <c r="Z18" s="8"/>
    </row>
    <row r="19" spans="1:26" s="1" customFormat="1" ht="11.25" customHeight="1">
      <c r="A19" s="210"/>
      <c r="B19" s="129" t="s">
        <v>174</v>
      </c>
      <c r="C19" s="129"/>
      <c r="D19" s="129"/>
      <c r="E19" s="210"/>
      <c r="F19" s="217">
        <f>BS!G20</f>
        <v>2644.3150000000001</v>
      </c>
      <c r="G19" s="218"/>
      <c r="H19" s="217">
        <v>2988.5</v>
      </c>
      <c r="I19" s="210"/>
      <c r="J19" s="502">
        <f>F19</f>
        <v>2644.3150000000001</v>
      </c>
      <c r="K19" s="210"/>
      <c r="L19" s="217">
        <v>2988.5</v>
      </c>
      <c r="M19" s="210"/>
      <c r="N19" s="217">
        <v>2817</v>
      </c>
      <c r="O19" s="218"/>
      <c r="P19" s="361"/>
      <c r="Q19" s="80"/>
      <c r="R19" s="19"/>
      <c r="S19" s="110"/>
      <c r="T19" s="8"/>
      <c r="U19" s="8"/>
      <c r="V19" s="8"/>
      <c r="W19" s="118"/>
      <c r="X19" s="8"/>
      <c r="Y19" s="8"/>
      <c r="Z19" s="8"/>
    </row>
    <row r="20" spans="1:26" s="1" customFormat="1" ht="11.25" customHeight="1">
      <c r="A20" s="210"/>
      <c r="B20" s="129" t="s">
        <v>2</v>
      </c>
      <c r="C20" s="129"/>
      <c r="D20" s="129"/>
      <c r="E20" s="210"/>
      <c r="F20" s="217">
        <f>BS!G7</f>
        <v>24.175999999999998</v>
      </c>
      <c r="G20" s="218"/>
      <c r="H20" s="217">
        <v>77.3</v>
      </c>
      <c r="I20" s="210"/>
      <c r="J20" s="502">
        <f>F20</f>
        <v>24.175999999999998</v>
      </c>
      <c r="K20" s="210"/>
      <c r="L20" s="217">
        <v>77.3</v>
      </c>
      <c r="M20" s="210"/>
      <c r="N20" s="217">
        <v>61.7</v>
      </c>
      <c r="O20" s="218"/>
      <c r="P20" s="361"/>
      <c r="Q20" s="80"/>
      <c r="R20" s="19"/>
      <c r="S20" s="110"/>
      <c r="T20" s="8"/>
      <c r="U20" s="8"/>
      <c r="V20" s="8"/>
      <c r="W20" s="118"/>
      <c r="X20" s="8"/>
      <c r="Y20" s="8"/>
      <c r="Z20" s="8"/>
    </row>
    <row r="21" spans="1:26" s="1" customFormat="1" ht="11.25" customHeight="1">
      <c r="A21" s="213"/>
      <c r="B21" s="131" t="s">
        <v>175</v>
      </c>
      <c r="C21" s="131"/>
      <c r="D21" s="131"/>
      <c r="E21" s="213"/>
      <c r="F21" s="348">
        <f>-F234</f>
        <v>1113.1999999999998</v>
      </c>
      <c r="G21" s="330"/>
      <c r="H21" s="219">
        <v>1208.5999999999999</v>
      </c>
      <c r="I21" s="213"/>
      <c r="J21" s="504">
        <f>F21</f>
        <v>1113.1999999999998</v>
      </c>
      <c r="K21" s="213"/>
      <c r="L21" s="219">
        <v>1208.5999999999999</v>
      </c>
      <c r="M21" s="213"/>
      <c r="N21" s="219">
        <v>1029.7</v>
      </c>
      <c r="O21" s="330"/>
      <c r="P21" s="348"/>
      <c r="Q21" s="80"/>
      <c r="R21" s="19"/>
      <c r="S21" s="110"/>
      <c r="T21" s="8"/>
      <c r="U21" s="8"/>
      <c r="V21" s="8"/>
      <c r="W21" s="118"/>
      <c r="X21" s="8"/>
      <c r="Y21" s="8"/>
      <c r="Z21" s="8"/>
    </row>
    <row r="22" spans="1:26" s="7" customFormat="1" ht="11.25" customHeight="1">
      <c r="A22" s="380"/>
      <c r="B22" s="380"/>
      <c r="C22" s="380"/>
      <c r="D22" s="380"/>
      <c r="E22" s="380"/>
      <c r="F22" s="325"/>
      <c r="G22" s="325"/>
      <c r="H22" s="325"/>
      <c r="I22" s="380"/>
      <c r="J22" s="380"/>
      <c r="K22" s="380"/>
      <c r="L22" s="380"/>
      <c r="M22" s="380"/>
      <c r="N22" s="325"/>
      <c r="O22" s="325"/>
      <c r="P22" s="325"/>
      <c r="Q22" s="80"/>
      <c r="R22" s="19"/>
      <c r="S22" s="110"/>
      <c r="T22" s="326"/>
      <c r="U22" s="326"/>
      <c r="V22" s="326"/>
      <c r="W22" s="327"/>
      <c r="X22" s="326"/>
      <c r="Y22" s="326"/>
      <c r="Z22" s="326"/>
    </row>
    <row r="23" spans="1:26" s="41" customFormat="1" ht="12.75" customHeight="1">
      <c r="A23" s="381"/>
      <c r="B23" s="382"/>
      <c r="C23" s="382"/>
      <c r="D23" s="382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77"/>
      <c r="R23" s="77"/>
      <c r="S23" s="76"/>
    </row>
    <row r="24" spans="1:26" s="41" customFormat="1" ht="15" customHeight="1">
      <c r="A24" s="383" t="s">
        <v>166</v>
      </c>
      <c r="B24" s="382"/>
      <c r="C24" s="382"/>
      <c r="D24" s="382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77"/>
      <c r="R24" s="77"/>
      <c r="S24" s="76"/>
    </row>
    <row r="25" spans="1:26" s="41" customFormat="1" ht="18" customHeight="1">
      <c r="A25" s="130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77"/>
      <c r="R25" s="77"/>
      <c r="S25" s="76"/>
    </row>
    <row r="26" spans="1:26" s="58" customFormat="1" ht="11.45" customHeight="1" thickBot="1">
      <c r="A26" s="209" t="s">
        <v>124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</row>
    <row r="27" spans="1:26" s="74" customFormat="1" ht="11.45" customHeight="1">
      <c r="A27" s="210"/>
      <c r="B27" s="210"/>
      <c r="C27" s="210"/>
      <c r="D27" s="210"/>
      <c r="E27" s="210"/>
      <c r="F27" s="550" t="s">
        <v>5</v>
      </c>
      <c r="G27" s="550"/>
      <c r="H27" s="550"/>
      <c r="I27" s="210"/>
      <c r="J27" s="134"/>
      <c r="K27" s="134" t="s">
        <v>254</v>
      </c>
      <c r="L27" s="134"/>
      <c r="M27" s="210"/>
      <c r="N27" s="479" t="s">
        <v>20</v>
      </c>
      <c r="O27" s="451"/>
      <c r="P27" s="384"/>
    </row>
    <row r="28" spans="1:26" s="74" customFormat="1" ht="11.45" customHeight="1">
      <c r="A28" s="210"/>
      <c r="B28" s="210"/>
      <c r="C28" s="210"/>
      <c r="D28" s="210"/>
      <c r="E28" s="210"/>
      <c r="F28" s="549" t="s">
        <v>249</v>
      </c>
      <c r="G28" s="549"/>
      <c r="H28" s="549"/>
      <c r="I28" s="210"/>
      <c r="J28" s="134"/>
      <c r="K28" s="494" t="s">
        <v>249</v>
      </c>
      <c r="L28" s="134"/>
      <c r="M28" s="210"/>
      <c r="N28" s="478" t="s">
        <v>1</v>
      </c>
      <c r="O28" s="421"/>
      <c r="P28" s="384"/>
    </row>
    <row r="29" spans="1:26" s="74" customFormat="1" ht="11.45" customHeight="1">
      <c r="A29" s="212" t="s">
        <v>99</v>
      </c>
      <c r="B29" s="213"/>
      <c r="C29" s="213"/>
      <c r="D29" s="213"/>
      <c r="E29" s="210"/>
      <c r="F29" s="268">
        <v>2017</v>
      </c>
      <c r="G29" s="214"/>
      <c r="H29" s="215">
        <v>2016</v>
      </c>
      <c r="I29" s="210"/>
      <c r="J29" s="375">
        <v>2017</v>
      </c>
      <c r="K29" s="129"/>
      <c r="L29" s="375">
        <v>2016</v>
      </c>
      <c r="M29" s="210"/>
      <c r="N29" s="215">
        <v>2016</v>
      </c>
      <c r="O29" s="214"/>
      <c r="P29" s="394"/>
    </row>
    <row r="30" spans="1:26" s="74" customFormat="1" ht="11.45" customHeight="1">
      <c r="A30" s="211" t="s">
        <v>0</v>
      </c>
      <c r="B30" s="130" t="s">
        <v>74</v>
      </c>
      <c r="C30" s="130"/>
      <c r="D30" s="130"/>
      <c r="E30" s="210"/>
      <c r="F30" s="156" t="s">
        <v>0</v>
      </c>
      <c r="G30" s="156"/>
      <c r="H30" s="156" t="s">
        <v>0</v>
      </c>
      <c r="I30" s="210"/>
      <c r="J30" s="210"/>
      <c r="K30" s="210"/>
      <c r="L30" s="210"/>
      <c r="M30" s="210"/>
      <c r="N30" s="156" t="s">
        <v>0</v>
      </c>
      <c r="O30" s="156"/>
      <c r="P30" s="156"/>
    </row>
    <row r="31" spans="1:26" s="74" customFormat="1" ht="11.45" customHeight="1">
      <c r="A31" s="211"/>
      <c r="B31" s="129" t="s">
        <v>73</v>
      </c>
      <c r="C31" s="129"/>
      <c r="D31" s="129"/>
      <c r="E31" s="210"/>
      <c r="F31" s="217">
        <v>43.531999999999996</v>
      </c>
      <c r="G31" s="216"/>
      <c r="H31" s="217">
        <v>54.2</v>
      </c>
      <c r="I31" s="210"/>
      <c r="J31" s="502">
        <f>157.3+F31</f>
        <v>200.83199999999999</v>
      </c>
      <c r="K31" s="210"/>
      <c r="L31" s="129">
        <v>183.3</v>
      </c>
      <c r="M31" s="210"/>
      <c r="N31" s="217">
        <v>212.6</v>
      </c>
      <c r="O31" s="216"/>
      <c r="P31" s="217"/>
      <c r="Q31" s="75"/>
      <c r="R31" s="70"/>
    </row>
    <row r="32" spans="1:26" s="74" customFormat="1" ht="11.45" customHeight="1">
      <c r="A32" s="211"/>
      <c r="B32" s="130" t="s">
        <v>72</v>
      </c>
      <c r="C32" s="130"/>
      <c r="D32" s="130"/>
      <c r="E32" s="210"/>
      <c r="F32" s="217">
        <v>101.785</v>
      </c>
      <c r="G32" s="218"/>
      <c r="H32" s="422">
        <v>84.3</v>
      </c>
      <c r="I32" s="210"/>
      <c r="J32" s="503">
        <f>89.9+F32</f>
        <v>191.685</v>
      </c>
      <c r="K32" s="210"/>
      <c r="L32" s="129">
        <v>191.4</v>
      </c>
      <c r="M32" s="210"/>
      <c r="N32" s="422">
        <v>242.3</v>
      </c>
      <c r="O32" s="218"/>
      <c r="P32" s="422"/>
      <c r="Q32" s="75"/>
      <c r="R32" s="70"/>
    </row>
    <row r="33" spans="1:22" s="74" customFormat="1" ht="11.45" customHeight="1">
      <c r="A33" s="210"/>
      <c r="B33" s="129" t="s">
        <v>71</v>
      </c>
      <c r="C33" s="129"/>
      <c r="D33" s="129"/>
      <c r="E33" s="210"/>
      <c r="F33" s="422">
        <v>47.768000000000001</v>
      </c>
      <c r="G33" s="218"/>
      <c r="H33" s="422">
        <v>63.2</v>
      </c>
      <c r="I33" s="210"/>
      <c r="J33" s="503">
        <f>116.7+F33</f>
        <v>164.46800000000002</v>
      </c>
      <c r="K33" s="210"/>
      <c r="L33" s="129">
        <v>174.4</v>
      </c>
      <c r="M33" s="210"/>
      <c r="N33" s="422">
        <v>226.8</v>
      </c>
      <c r="O33" s="218"/>
      <c r="P33" s="422"/>
      <c r="Q33" s="75"/>
      <c r="R33" s="70"/>
    </row>
    <row r="34" spans="1:22" s="74" customFormat="1" ht="11.45" customHeight="1">
      <c r="A34" s="210"/>
      <c r="B34" s="129" t="s">
        <v>116</v>
      </c>
      <c r="C34" s="129"/>
      <c r="D34" s="129"/>
      <c r="E34" s="210"/>
      <c r="F34" s="422">
        <f>2.187+10.288</f>
        <v>12.475</v>
      </c>
      <c r="G34" s="218"/>
      <c r="H34" s="422">
        <v>16</v>
      </c>
      <c r="I34" s="210"/>
      <c r="J34" s="503">
        <f>28.7+F34</f>
        <v>41.174999999999997</v>
      </c>
      <c r="K34" s="210"/>
      <c r="L34" s="129">
        <v>50.4</v>
      </c>
      <c r="M34" s="210"/>
      <c r="N34" s="422">
        <v>70</v>
      </c>
      <c r="O34" s="218"/>
      <c r="P34" s="422"/>
      <c r="Q34" s="75"/>
      <c r="R34" s="70"/>
    </row>
    <row r="35" spans="1:22" s="74" customFormat="1" ht="11.45" customHeight="1">
      <c r="A35" s="213"/>
      <c r="B35" s="131" t="s">
        <v>70</v>
      </c>
      <c r="C35" s="131"/>
      <c r="D35" s="131"/>
      <c r="E35" s="210"/>
      <c r="F35" s="219">
        <v>2.012</v>
      </c>
      <c r="G35" s="218"/>
      <c r="H35" s="219">
        <v>6.4</v>
      </c>
      <c r="I35" s="210"/>
      <c r="J35" s="503">
        <f>2.7+F35</f>
        <v>4.7119999999999997</v>
      </c>
      <c r="K35" s="210"/>
      <c r="L35" s="129">
        <v>10.7</v>
      </c>
      <c r="M35" s="210"/>
      <c r="N35" s="219">
        <v>12.6</v>
      </c>
      <c r="O35" s="218"/>
      <c r="P35" s="422"/>
      <c r="Q35" s="75"/>
    </row>
    <row r="36" spans="1:22" s="278" customFormat="1" ht="11.45" customHeight="1">
      <c r="A36" s="423"/>
      <c r="B36" s="385" t="s">
        <v>161</v>
      </c>
      <c r="C36" s="385"/>
      <c r="D36" s="385"/>
      <c r="E36" s="386"/>
      <c r="F36" s="424">
        <f>SUM(F31:F35)</f>
        <v>207.572</v>
      </c>
      <c r="G36" s="425"/>
      <c r="H36" s="424">
        <f>SUM(H31:H35)</f>
        <v>224.1</v>
      </c>
      <c r="I36" s="386"/>
      <c r="J36" s="501">
        <f>SUM(J31:J35)</f>
        <v>602.87199999999996</v>
      </c>
      <c r="K36" s="386"/>
      <c r="L36" s="501">
        <f>SUM(L31:L35)</f>
        <v>610.20000000000005</v>
      </c>
      <c r="M36" s="386"/>
      <c r="N36" s="424">
        <f>SUM(N31:N35)</f>
        <v>764.30000000000007</v>
      </c>
      <c r="O36" s="425"/>
      <c r="P36" s="452"/>
      <c r="Q36" s="276"/>
      <c r="R36" s="277"/>
    </row>
    <row r="37" spans="1:22" s="74" customFormat="1" ht="11.45" customHeight="1">
      <c r="A37" s="210"/>
      <c r="B37" s="210"/>
      <c r="C37" s="210"/>
      <c r="D37" s="210"/>
      <c r="E37" s="210"/>
      <c r="F37" s="426"/>
      <c r="G37" s="427"/>
      <c r="H37" s="220"/>
      <c r="I37" s="210"/>
      <c r="J37" s="210"/>
      <c r="K37" s="210"/>
      <c r="L37" s="210"/>
      <c r="M37" s="210"/>
      <c r="N37" s="220"/>
      <c r="O37" s="427"/>
      <c r="P37" s="220"/>
      <c r="R37" s="70"/>
    </row>
    <row r="38" spans="1:22" s="74" customFormat="1" ht="11.45" customHeight="1" thickBot="1">
      <c r="A38" s="209" t="s">
        <v>182</v>
      </c>
      <c r="B38" s="209"/>
      <c r="C38" s="209"/>
      <c r="D38" s="209"/>
      <c r="E38" s="209"/>
      <c r="F38" s="428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R38" s="70"/>
    </row>
    <row r="39" spans="1:22" s="74" customFormat="1" ht="11.45" customHeight="1">
      <c r="A39" s="210"/>
      <c r="B39" s="210"/>
      <c r="C39" s="210"/>
      <c r="D39" s="210"/>
      <c r="E39" s="210"/>
      <c r="F39" s="550" t="s">
        <v>5</v>
      </c>
      <c r="G39" s="550"/>
      <c r="H39" s="550"/>
      <c r="I39" s="210"/>
      <c r="J39" s="134"/>
      <c r="K39" s="134" t="s">
        <v>254</v>
      </c>
      <c r="L39" s="134"/>
      <c r="M39" s="210"/>
      <c r="N39" s="479" t="s">
        <v>20</v>
      </c>
      <c r="O39" s="451"/>
      <c r="P39" s="384"/>
    </row>
    <row r="40" spans="1:22" s="74" customFormat="1" ht="11.45" customHeight="1">
      <c r="A40" s="210"/>
      <c r="B40" s="210"/>
      <c r="C40" s="210"/>
      <c r="D40" s="210"/>
      <c r="E40" s="210"/>
      <c r="F40" s="549" t="s">
        <v>249</v>
      </c>
      <c r="G40" s="549"/>
      <c r="H40" s="549"/>
      <c r="I40" s="210"/>
      <c r="J40" s="134"/>
      <c r="K40" s="494" t="s">
        <v>249</v>
      </c>
      <c r="L40" s="134"/>
      <c r="M40" s="210"/>
      <c r="N40" s="478" t="s">
        <v>1</v>
      </c>
      <c r="O40" s="421"/>
      <c r="P40" s="384"/>
    </row>
    <row r="41" spans="1:22" s="74" customFormat="1" ht="11.45" customHeight="1">
      <c r="A41" s="212" t="s">
        <v>0</v>
      </c>
      <c r="B41" s="213"/>
      <c r="C41" s="213"/>
      <c r="D41" s="213"/>
      <c r="E41" s="210"/>
      <c r="F41" s="268">
        <v>2017</v>
      </c>
      <c r="G41" s="214"/>
      <c r="H41" s="215">
        <v>2016</v>
      </c>
      <c r="I41" s="210"/>
      <c r="J41" s="375">
        <v>2017</v>
      </c>
      <c r="K41" s="129"/>
      <c r="L41" s="375">
        <v>2016</v>
      </c>
      <c r="M41" s="210"/>
      <c r="N41" s="215">
        <v>2016</v>
      </c>
      <c r="O41" s="214"/>
      <c r="P41" s="394"/>
      <c r="R41" s="70"/>
    </row>
    <row r="42" spans="1:22" s="41" customFormat="1" ht="12.75" customHeight="1">
      <c r="A42" s="211" t="s">
        <v>0</v>
      </c>
      <c r="B42" s="130" t="s">
        <v>150</v>
      </c>
      <c r="C42" s="130"/>
      <c r="D42" s="130"/>
      <c r="E42" s="210"/>
      <c r="F42" s="429">
        <v>0.28000000000000003</v>
      </c>
      <c r="G42" s="430"/>
      <c r="H42" s="431">
        <v>0.33</v>
      </c>
      <c r="I42" s="210"/>
      <c r="J42" s="429">
        <v>0.47</v>
      </c>
      <c r="K42" s="210"/>
      <c r="L42" s="431">
        <v>0.51</v>
      </c>
      <c r="M42" s="210"/>
      <c r="N42" s="431">
        <v>0.45</v>
      </c>
      <c r="O42" s="430"/>
      <c r="P42" s="431"/>
      <c r="Q42" s="60"/>
      <c r="R42" s="54"/>
      <c r="S42" s="54"/>
      <c r="T42" s="54"/>
      <c r="U42" s="40"/>
      <c r="V42" s="40"/>
    </row>
    <row r="43" spans="1:22" s="58" customFormat="1" ht="11.45" customHeight="1">
      <c r="A43" s="211"/>
      <c r="B43" s="129" t="s">
        <v>151</v>
      </c>
      <c r="C43" s="129"/>
      <c r="D43" s="129"/>
      <c r="E43" s="210"/>
      <c r="F43" s="429">
        <v>0.53</v>
      </c>
      <c r="G43" s="432"/>
      <c r="H43" s="429">
        <v>0.45</v>
      </c>
      <c r="I43" s="210"/>
      <c r="J43" s="429">
        <v>0.33</v>
      </c>
      <c r="K43" s="210"/>
      <c r="L43" s="431">
        <v>0.3</v>
      </c>
      <c r="M43" s="210"/>
      <c r="N43" s="429">
        <v>0.28999999999999998</v>
      </c>
      <c r="O43" s="432"/>
      <c r="P43" s="429"/>
      <c r="S43" s="47"/>
    </row>
    <row r="44" spans="1:22" s="58" customFormat="1" ht="11.45" customHeight="1">
      <c r="A44" s="211"/>
      <c r="B44" s="130" t="s">
        <v>152</v>
      </c>
      <c r="C44" s="130"/>
      <c r="D44" s="130"/>
      <c r="E44" s="210"/>
      <c r="F44" s="433">
        <v>0.05</v>
      </c>
      <c r="G44" s="434"/>
      <c r="H44" s="433">
        <v>0.1</v>
      </c>
      <c r="I44" s="210"/>
      <c r="J44" s="429">
        <v>0.1</v>
      </c>
      <c r="K44" s="210"/>
      <c r="L44" s="431">
        <v>0.13</v>
      </c>
      <c r="M44" s="210"/>
      <c r="N44" s="433">
        <v>0.14000000000000001</v>
      </c>
      <c r="O44" s="434"/>
      <c r="P44" s="433"/>
      <c r="S44" s="47"/>
    </row>
    <row r="45" spans="1:22" s="58" customFormat="1" ht="11.45" customHeight="1">
      <c r="A45" s="210"/>
      <c r="B45" s="129" t="s">
        <v>153</v>
      </c>
      <c r="C45" s="129"/>
      <c r="D45" s="129"/>
      <c r="E45" s="210"/>
      <c r="F45" s="433">
        <v>0.02</v>
      </c>
      <c r="G45" s="434"/>
      <c r="H45" s="433">
        <v>0.02</v>
      </c>
      <c r="I45" s="210"/>
      <c r="J45" s="429">
        <v>0.02</v>
      </c>
      <c r="K45" s="210"/>
      <c r="L45" s="431">
        <v>0.02</v>
      </c>
      <c r="M45" s="210"/>
      <c r="N45" s="433">
        <v>0.02</v>
      </c>
      <c r="O45" s="434"/>
      <c r="P45" s="433"/>
      <c r="S45" s="48"/>
    </row>
    <row r="46" spans="1:22" s="58" customFormat="1" ht="11.45" customHeight="1">
      <c r="A46" s="213"/>
      <c r="B46" s="131" t="s">
        <v>178</v>
      </c>
      <c r="C46" s="131"/>
      <c r="D46" s="131"/>
      <c r="E46" s="210"/>
      <c r="F46" s="435">
        <v>0.12</v>
      </c>
      <c r="G46" s="434"/>
      <c r="H46" s="435">
        <v>0.1</v>
      </c>
      <c r="I46" s="210"/>
      <c r="J46" s="435">
        <v>0.08</v>
      </c>
      <c r="K46" s="210"/>
      <c r="L46" s="510">
        <v>0.04</v>
      </c>
      <c r="M46" s="210"/>
      <c r="N46" s="435">
        <v>0.1</v>
      </c>
      <c r="O46" s="434"/>
      <c r="P46" s="433"/>
      <c r="Q46" s="73"/>
      <c r="R46" s="48"/>
    </row>
    <row r="47" spans="1:22" s="58" customFormat="1" ht="11.45" customHeight="1">
      <c r="A47" s="210"/>
      <c r="B47" s="436" t="s">
        <v>183</v>
      </c>
      <c r="C47" s="437"/>
      <c r="D47" s="437"/>
      <c r="E47" s="210"/>
      <c r="F47" s="426"/>
      <c r="G47" s="427"/>
      <c r="H47" s="220"/>
      <c r="I47" s="210"/>
      <c r="J47" s="210"/>
      <c r="K47" s="210"/>
      <c r="L47" s="210"/>
      <c r="M47" s="210"/>
      <c r="N47" s="220"/>
      <c r="O47" s="427"/>
      <c r="P47" s="220"/>
      <c r="Q47" s="73"/>
      <c r="R47" s="48"/>
    </row>
    <row r="48" spans="1:22" s="58" customFormat="1" ht="11.45" customHeight="1">
      <c r="A48" s="210"/>
      <c r="B48" s="210"/>
      <c r="C48" s="210"/>
      <c r="D48" s="210"/>
      <c r="E48" s="210"/>
      <c r="F48" s="426"/>
      <c r="G48" s="427"/>
      <c r="H48" s="220"/>
      <c r="I48" s="210"/>
      <c r="J48" s="210"/>
      <c r="K48" s="210"/>
      <c r="L48" s="210"/>
      <c r="M48" s="210"/>
      <c r="N48" s="220"/>
      <c r="O48" s="427"/>
      <c r="P48" s="220"/>
      <c r="Q48" s="73"/>
      <c r="R48" s="70"/>
    </row>
    <row r="49" spans="1:19" s="41" customFormat="1" ht="15" customHeight="1">
      <c r="A49" s="383" t="s">
        <v>229</v>
      </c>
      <c r="B49" s="382"/>
      <c r="C49" s="382"/>
      <c r="D49" s="382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77"/>
      <c r="R49" s="77"/>
      <c r="S49" s="76"/>
    </row>
    <row r="50" spans="1:19" s="41" customFormat="1" ht="11.45" customHeight="1" thickBot="1">
      <c r="A50" s="209"/>
      <c r="B50" s="209"/>
      <c r="C50" s="209"/>
      <c r="D50" s="209"/>
      <c r="E50" s="209"/>
      <c r="F50" s="428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71"/>
      <c r="R50" s="71"/>
      <c r="S50" s="48"/>
    </row>
    <row r="51" spans="1:19" s="74" customFormat="1" ht="11.45" customHeight="1">
      <c r="A51" s="210"/>
      <c r="B51" s="210"/>
      <c r="C51" s="210"/>
      <c r="D51" s="210"/>
      <c r="E51" s="210"/>
      <c r="F51" s="550" t="s">
        <v>5</v>
      </c>
      <c r="G51" s="550"/>
      <c r="H51" s="550"/>
      <c r="I51" s="210"/>
      <c r="J51" s="129"/>
      <c r="K51" s="134" t="s">
        <v>254</v>
      </c>
      <c r="L51" s="134"/>
      <c r="M51" s="210"/>
      <c r="N51" s="479" t="s">
        <v>20</v>
      </c>
      <c r="O51" s="451"/>
      <c r="P51" s="384"/>
    </row>
    <row r="52" spans="1:19" s="74" customFormat="1" ht="11.45" customHeight="1">
      <c r="A52" s="210"/>
      <c r="B52" s="210"/>
      <c r="C52" s="210"/>
      <c r="D52" s="210"/>
      <c r="E52" s="210"/>
      <c r="F52" s="549" t="s">
        <v>249</v>
      </c>
      <c r="G52" s="549"/>
      <c r="H52" s="549"/>
      <c r="I52" s="210"/>
      <c r="J52" s="129"/>
      <c r="K52" s="494" t="s">
        <v>249</v>
      </c>
      <c r="L52" s="134"/>
      <c r="M52" s="210"/>
      <c r="N52" s="478" t="s">
        <v>1</v>
      </c>
      <c r="O52" s="421"/>
      <c r="P52" s="384"/>
    </row>
    <row r="53" spans="1:19" s="41" customFormat="1" ht="11.45" customHeight="1">
      <c r="A53" s="438" t="s">
        <v>99</v>
      </c>
      <c r="B53" s="439"/>
      <c r="C53" s="439"/>
      <c r="D53" s="439" t="s">
        <v>0</v>
      </c>
      <c r="E53" s="180"/>
      <c r="F53" s="439">
        <v>2017</v>
      </c>
      <c r="G53" s="180"/>
      <c r="H53" s="439">
        <v>2016</v>
      </c>
      <c r="I53" s="180"/>
      <c r="J53" s="497">
        <v>2017</v>
      </c>
      <c r="K53" s="180"/>
      <c r="L53" s="497">
        <v>2016</v>
      </c>
      <c r="M53" s="180"/>
      <c r="N53" s="439">
        <v>2016</v>
      </c>
      <c r="O53" s="180"/>
      <c r="P53" s="180"/>
      <c r="Q53" s="60"/>
      <c r="R53" s="60"/>
    </row>
    <row r="54" spans="1:19" s="41" customFormat="1" ht="11.45" customHeight="1">
      <c r="A54" s="440"/>
      <c r="B54" s="180"/>
      <c r="C54" s="180"/>
      <c r="D54" s="180"/>
      <c r="E54" s="180"/>
      <c r="F54" s="180"/>
      <c r="G54" s="180"/>
      <c r="H54" s="441"/>
      <c r="I54" s="180"/>
      <c r="J54" s="180"/>
      <c r="K54" s="180"/>
      <c r="L54" s="180"/>
      <c r="M54" s="180"/>
      <c r="N54" s="441"/>
      <c r="O54" s="180"/>
      <c r="P54" s="180"/>
      <c r="Q54" s="39"/>
      <c r="R54" s="72"/>
    </row>
    <row r="55" spans="1:19" s="41" customFormat="1" ht="11.45" customHeight="1">
      <c r="A55" s="171" t="s">
        <v>0</v>
      </c>
      <c r="B55" s="171" t="s">
        <v>203</v>
      </c>
      <c r="C55" s="172"/>
      <c r="D55" s="280"/>
      <c r="E55" s="172"/>
      <c r="F55" s="145">
        <v>-167.16200000000001</v>
      </c>
      <c r="G55" s="146"/>
      <c r="H55" s="145">
        <v>-163.69999999999999</v>
      </c>
      <c r="I55" s="172"/>
      <c r="J55" s="145">
        <f>-304+F55</f>
        <v>-471.16200000000003</v>
      </c>
      <c r="K55" s="172"/>
      <c r="L55" s="145">
        <v>-460.7</v>
      </c>
      <c r="M55" s="172"/>
      <c r="N55" s="145">
        <v>-594.20000000000005</v>
      </c>
      <c r="O55" s="146"/>
      <c r="P55" s="145"/>
    </row>
    <row r="56" spans="1:19" s="41" customFormat="1" ht="11.45" customHeight="1">
      <c r="A56" s="171" t="s">
        <v>0</v>
      </c>
      <c r="B56" s="171" t="s">
        <v>204</v>
      </c>
      <c r="C56" s="172"/>
      <c r="D56" s="281" t="s">
        <v>0</v>
      </c>
      <c r="E56" s="172"/>
      <c r="F56" s="145">
        <v>-6.5979999999999999</v>
      </c>
      <c r="G56" s="145"/>
      <c r="H56" s="145">
        <f>-5.9</f>
        <v>-5.9</v>
      </c>
      <c r="I56" s="172"/>
      <c r="J56" s="145">
        <f>-14.2+F56</f>
        <v>-20.797999999999998</v>
      </c>
      <c r="K56" s="172"/>
      <c r="L56" s="145">
        <v>-20.9</v>
      </c>
      <c r="M56" s="172"/>
      <c r="N56" s="145">
        <v>-29.7</v>
      </c>
      <c r="O56" s="145"/>
      <c r="P56" s="145"/>
      <c r="Q56" s="56"/>
    </row>
    <row r="57" spans="1:19" s="41" customFormat="1" ht="11.45" customHeight="1">
      <c r="A57" s="442" t="s">
        <v>0</v>
      </c>
      <c r="B57" s="442" t="s">
        <v>186</v>
      </c>
      <c r="C57" s="442"/>
      <c r="D57" s="443"/>
      <c r="E57" s="172"/>
      <c r="F57" s="145">
        <v>-9.6969999999999992</v>
      </c>
      <c r="G57" s="145">
        <v>11</v>
      </c>
      <c r="H57" s="145">
        <v>-7.8</v>
      </c>
      <c r="I57" s="172"/>
      <c r="J57" s="145">
        <f>-17.9+F57</f>
        <v>-27.596999999999998</v>
      </c>
      <c r="K57" s="172"/>
      <c r="L57" s="145">
        <v>-29</v>
      </c>
      <c r="M57" s="172"/>
      <c r="N57" s="145">
        <v>-38.4</v>
      </c>
      <c r="O57" s="145"/>
      <c r="P57" s="145"/>
    </row>
    <row r="58" spans="1:19" s="275" customFormat="1" ht="11.45" customHeight="1">
      <c r="A58" s="257"/>
      <c r="B58" s="257" t="s">
        <v>201</v>
      </c>
      <c r="C58" s="257"/>
      <c r="D58" s="444"/>
      <c r="E58" s="257"/>
      <c r="F58" s="445">
        <f>SUM(F55:F57)</f>
        <v>-183.45700000000002</v>
      </c>
      <c r="G58" s="144"/>
      <c r="H58" s="445">
        <f>SUM(H55:H57)+0.1</f>
        <v>-177.3</v>
      </c>
      <c r="I58" s="257"/>
      <c r="J58" s="445">
        <f>SUM(J55:J57)-0.1</f>
        <v>-519.65700000000004</v>
      </c>
      <c r="K58" s="257"/>
      <c r="L58" s="445">
        <f>SUM(L55:L57)+0.1</f>
        <v>-510.49999999999994</v>
      </c>
      <c r="M58" s="257"/>
      <c r="N58" s="445">
        <f>SUM(N55:N57)</f>
        <v>-662.30000000000007</v>
      </c>
      <c r="O58" s="144"/>
      <c r="P58" s="144"/>
    </row>
    <row r="59" spans="1:19" s="41" customFormat="1" ht="11.45" customHeight="1">
      <c r="A59" s="129" t="s">
        <v>0</v>
      </c>
      <c r="B59" s="129" t="s">
        <v>172</v>
      </c>
      <c r="C59" s="129"/>
      <c r="D59" s="129"/>
      <c r="E59" s="210"/>
      <c r="F59" s="145">
        <v>82.034000000000006</v>
      </c>
      <c r="G59" s="225"/>
      <c r="H59" s="145">
        <v>63.9</v>
      </c>
      <c r="I59" s="210"/>
      <c r="J59" s="145">
        <f>77.4+F59</f>
        <v>159.43400000000003</v>
      </c>
      <c r="K59" s="210"/>
      <c r="L59" s="145">
        <v>154</v>
      </c>
      <c r="M59" s="210"/>
      <c r="N59" s="145">
        <v>201</v>
      </c>
      <c r="O59" s="453"/>
      <c r="P59" s="225"/>
      <c r="Q59" s="58"/>
    </row>
    <row r="60" spans="1:19" s="41" customFormat="1" ht="11.45" customHeight="1">
      <c r="A60" s="129" t="s">
        <v>0</v>
      </c>
      <c r="B60" s="129" t="s">
        <v>69</v>
      </c>
      <c r="C60" s="129"/>
      <c r="D60" s="129"/>
      <c r="E60" s="210"/>
      <c r="F60" s="146">
        <v>2.4159999999999999</v>
      </c>
      <c r="G60" s="225"/>
      <c r="H60" s="146">
        <v>2.2000000000000002</v>
      </c>
      <c r="I60" s="210"/>
      <c r="J60" s="146">
        <f>6.2+F60</f>
        <v>8.6159999999999997</v>
      </c>
      <c r="K60" s="210"/>
      <c r="L60" s="129">
        <v>6.7</v>
      </c>
      <c r="M60" s="210"/>
      <c r="N60" s="146">
        <v>10.199999999999999</v>
      </c>
      <c r="O60" s="453"/>
      <c r="P60" s="225"/>
    </row>
    <row r="61" spans="1:19" s="41" customFormat="1" ht="11.45" customHeight="1">
      <c r="A61" s="387"/>
      <c r="B61" s="132" t="s">
        <v>228</v>
      </c>
      <c r="C61" s="132"/>
      <c r="D61" s="132"/>
      <c r="E61" s="386"/>
      <c r="F61" s="147">
        <f>SUM(F58:F60)</f>
        <v>-99.007000000000019</v>
      </c>
      <c r="G61" s="446"/>
      <c r="H61" s="147">
        <f>SUM(H58:H60)-0.1</f>
        <v>-111.3</v>
      </c>
      <c r="I61" s="386"/>
      <c r="J61" s="147">
        <f>SUM(J58:J60)</f>
        <v>-351.60700000000003</v>
      </c>
      <c r="K61" s="386"/>
      <c r="L61" s="147">
        <f>SUM(L58:L60)-0.1</f>
        <v>-349.9</v>
      </c>
      <c r="M61" s="386"/>
      <c r="N61" s="147">
        <f>SUM(N58:N60)+0.1</f>
        <v>-451.00000000000006</v>
      </c>
      <c r="O61" s="453"/>
      <c r="P61" s="225"/>
    </row>
    <row r="62" spans="1:19" s="41" customFormat="1" ht="11.45" customHeight="1">
      <c r="A62" s="129"/>
      <c r="B62" s="129"/>
      <c r="C62" s="129"/>
      <c r="D62" s="129"/>
      <c r="E62" s="210"/>
      <c r="F62" s="145"/>
      <c r="G62" s="225"/>
      <c r="H62" s="145"/>
      <c r="I62" s="210"/>
      <c r="J62" s="210"/>
      <c r="K62" s="210"/>
      <c r="L62" s="210"/>
      <c r="M62" s="210"/>
      <c r="N62" s="145"/>
      <c r="O62" s="453"/>
      <c r="P62" s="225"/>
    </row>
    <row r="63" spans="1:19" s="41" customFormat="1" ht="11.45" customHeight="1">
      <c r="A63" s="129"/>
      <c r="B63" s="129"/>
      <c r="C63" s="129"/>
      <c r="D63" s="129"/>
      <c r="E63" s="211"/>
      <c r="F63" s="221"/>
      <c r="G63" s="222"/>
      <c r="H63" s="221"/>
      <c r="I63" s="211"/>
      <c r="J63" s="211"/>
      <c r="K63" s="211"/>
      <c r="L63" s="211"/>
      <c r="M63" s="211"/>
      <c r="N63" s="221"/>
      <c r="O63" s="222"/>
      <c r="P63" s="221"/>
    </row>
    <row r="64" spans="1:19" s="41" customFormat="1" ht="15" customHeight="1">
      <c r="A64" s="383" t="s">
        <v>224</v>
      </c>
      <c r="B64" s="382"/>
      <c r="C64" s="382"/>
      <c r="D64" s="382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77"/>
      <c r="R64" s="77"/>
      <c r="S64" s="76"/>
    </row>
    <row r="65" spans="1:20" s="41" customFormat="1" ht="11.45" customHeight="1">
      <c r="A65" s="227"/>
      <c r="B65" s="130"/>
      <c r="C65" s="130"/>
      <c r="D65" s="130"/>
      <c r="E65" s="130"/>
      <c r="F65" s="447"/>
      <c r="G65" s="130"/>
      <c r="H65" s="130"/>
      <c r="I65" s="130"/>
      <c r="J65" s="130"/>
      <c r="K65" s="130"/>
      <c r="L65" s="130"/>
      <c r="M65" s="130"/>
      <c r="N65" s="130"/>
      <c r="O65" s="130"/>
      <c r="P65" s="130"/>
    </row>
    <row r="66" spans="1:20" s="41" customFormat="1" ht="11.45" customHeight="1" thickBot="1">
      <c r="A66" s="209" t="s">
        <v>217</v>
      </c>
      <c r="B66" s="209"/>
      <c r="C66" s="209"/>
      <c r="D66" s="209"/>
      <c r="E66" s="209"/>
      <c r="F66" s="428"/>
      <c r="G66" s="209"/>
      <c r="H66" s="209"/>
      <c r="I66" s="209"/>
      <c r="J66" s="209"/>
      <c r="K66" s="209"/>
      <c r="L66" s="209"/>
      <c r="M66" s="209"/>
      <c r="N66" s="209"/>
      <c r="O66" s="209"/>
      <c r="P66" s="209"/>
    </row>
    <row r="67" spans="1:20" s="74" customFormat="1" ht="11.45" customHeight="1">
      <c r="A67" s="210"/>
      <c r="B67" s="210"/>
      <c r="C67" s="210"/>
      <c r="D67" s="210"/>
      <c r="E67" s="210"/>
      <c r="F67" s="550" t="s">
        <v>5</v>
      </c>
      <c r="G67" s="550"/>
      <c r="H67" s="550"/>
      <c r="I67" s="210"/>
      <c r="J67" s="129"/>
      <c r="K67" s="134" t="s">
        <v>254</v>
      </c>
      <c r="L67" s="134"/>
      <c r="M67" s="210"/>
      <c r="N67" s="479" t="s">
        <v>20</v>
      </c>
      <c r="O67" s="474"/>
      <c r="P67" s="473"/>
    </row>
    <row r="68" spans="1:20" s="74" customFormat="1" ht="11.45" customHeight="1">
      <c r="A68" s="210"/>
      <c r="B68" s="210"/>
      <c r="C68" s="210"/>
      <c r="D68" s="210"/>
      <c r="E68" s="210"/>
      <c r="F68" s="549" t="s">
        <v>249</v>
      </c>
      <c r="G68" s="549"/>
      <c r="H68" s="549"/>
      <c r="I68" s="210"/>
      <c r="J68" s="129"/>
      <c r="K68" s="514" t="s">
        <v>249</v>
      </c>
      <c r="L68" s="134"/>
      <c r="M68" s="210"/>
      <c r="N68" s="478" t="s">
        <v>1</v>
      </c>
      <c r="O68" s="388"/>
      <c r="P68" s="473"/>
    </row>
    <row r="69" spans="1:20" s="41" customFormat="1" ht="11.45" customHeight="1">
      <c r="A69" s="133" t="s">
        <v>99</v>
      </c>
      <c r="B69" s="131"/>
      <c r="C69" s="131"/>
      <c r="D69" s="131"/>
      <c r="E69" s="129"/>
      <c r="F69" s="268">
        <v>2017</v>
      </c>
      <c r="G69" s="214"/>
      <c r="H69" s="215">
        <f>+$N$29</f>
        <v>2016</v>
      </c>
      <c r="I69" s="129"/>
      <c r="J69" s="375">
        <v>2017</v>
      </c>
      <c r="K69" s="129"/>
      <c r="L69" s="375">
        <v>2016</v>
      </c>
      <c r="M69" s="129"/>
      <c r="N69" s="215">
        <f>+$N$29</f>
        <v>2016</v>
      </c>
      <c r="O69" s="214"/>
      <c r="P69" s="394"/>
    </row>
    <row r="70" spans="1:20" s="44" customFormat="1" ht="15" customHeight="1">
      <c r="A70" s="129"/>
      <c r="B70" s="129" t="s">
        <v>67</v>
      </c>
      <c r="C70" s="129"/>
      <c r="D70" s="129"/>
      <c r="E70" s="129"/>
      <c r="F70" s="146">
        <v>-111.90300000000001</v>
      </c>
      <c r="G70" s="146"/>
      <c r="H70" s="146">
        <v>-86.2</v>
      </c>
      <c r="I70" s="129"/>
      <c r="J70" s="146">
        <f>-147.1+F70</f>
        <v>-259.00299999999999</v>
      </c>
      <c r="K70" s="129"/>
      <c r="L70" s="146">
        <v>-202.6</v>
      </c>
      <c r="M70" s="129"/>
      <c r="N70" s="146">
        <v>-279.2</v>
      </c>
      <c r="O70" s="146"/>
      <c r="P70" s="146"/>
    </row>
    <row r="71" spans="1:20" s="41" customFormat="1" ht="11.45" customHeight="1">
      <c r="A71" s="129"/>
      <c r="B71" s="129" t="s">
        <v>246</v>
      </c>
      <c r="C71" s="129"/>
      <c r="D71" s="129"/>
      <c r="E71" s="129"/>
      <c r="F71" s="146">
        <v>0</v>
      </c>
      <c r="G71" s="146"/>
      <c r="H71" s="146">
        <v>0</v>
      </c>
      <c r="I71" s="129"/>
      <c r="J71" s="146">
        <f>-0.4+F71</f>
        <v>-0.4</v>
      </c>
      <c r="K71" s="129"/>
      <c r="L71" s="146">
        <v>-14.6</v>
      </c>
      <c r="M71" s="129"/>
      <c r="N71" s="146">
        <v>-14.6</v>
      </c>
      <c r="O71" s="145"/>
      <c r="P71" s="145"/>
      <c r="Q71" s="519" t="s">
        <v>0</v>
      </c>
      <c r="R71" s="519" t="s">
        <v>0</v>
      </c>
      <c r="S71" s="519" t="s">
        <v>0</v>
      </c>
      <c r="T71" s="519" t="s">
        <v>0</v>
      </c>
    </row>
    <row r="72" spans="1:20" s="41" customFormat="1" ht="11.45" customHeight="1">
      <c r="A72" s="129"/>
      <c r="B72" s="129" t="s">
        <v>210</v>
      </c>
      <c r="C72" s="131"/>
      <c r="D72" s="131"/>
      <c r="E72" s="129"/>
      <c r="F72" s="146">
        <v>-41.735871000000003</v>
      </c>
      <c r="G72" s="145"/>
      <c r="H72" s="146">
        <v>-9.1999999999999993</v>
      </c>
      <c r="I72" s="129"/>
      <c r="J72" s="146">
        <f>-3.5+F72</f>
        <v>-45.235871000000003</v>
      </c>
      <c r="K72" s="129"/>
      <c r="L72" s="146">
        <v>-9.1999999999999993</v>
      </c>
      <c r="M72" s="129"/>
      <c r="N72" s="146">
        <v>-30.1</v>
      </c>
      <c r="O72" s="145"/>
      <c r="P72" s="145"/>
    </row>
    <row r="73" spans="1:20" s="41" customFormat="1" ht="11.45" customHeight="1">
      <c r="A73" s="387"/>
      <c r="B73" s="132" t="s">
        <v>202</v>
      </c>
      <c r="C73" s="131"/>
      <c r="D73" s="131"/>
      <c r="E73" s="129"/>
      <c r="F73" s="147">
        <f>SUM(F70:F72)</f>
        <v>-153.63887099999999</v>
      </c>
      <c r="G73" s="145"/>
      <c r="H73" s="147">
        <f>SUM(H70:H72)</f>
        <v>-95.4</v>
      </c>
      <c r="I73" s="129"/>
      <c r="J73" s="147">
        <f>SUM(J70:J72)-0.1</f>
        <v>-304.73887100000002</v>
      </c>
      <c r="K73" s="129"/>
      <c r="L73" s="147">
        <f>SUM(L70:L72)</f>
        <v>-226.39999999999998</v>
      </c>
      <c r="M73" s="129"/>
      <c r="N73" s="147">
        <f>SUM(N70:N72)</f>
        <v>-323.90000000000003</v>
      </c>
      <c r="O73" s="145"/>
      <c r="P73" s="144"/>
      <c r="Q73" s="58"/>
    </row>
    <row r="74" spans="1:20" s="41" customFormat="1" ht="11.45" customHeight="1">
      <c r="A74" s="129"/>
      <c r="B74" s="128"/>
      <c r="C74" s="129"/>
      <c r="D74" s="129"/>
      <c r="E74" s="129"/>
      <c r="F74" s="144"/>
      <c r="G74" s="145"/>
      <c r="H74" s="144"/>
      <c r="I74" s="129"/>
      <c r="J74" s="129"/>
      <c r="K74" s="129"/>
      <c r="L74" s="129"/>
      <c r="M74" s="129"/>
      <c r="N74" s="144"/>
      <c r="O74" s="145"/>
      <c r="P74" s="144"/>
    </row>
    <row r="75" spans="1:20" s="41" customFormat="1" ht="11.45" customHeight="1" thickBot="1">
      <c r="A75" s="209" t="s">
        <v>218</v>
      </c>
      <c r="B75" s="209"/>
      <c r="C75" s="209"/>
      <c r="D75" s="209"/>
      <c r="E75" s="209"/>
      <c r="F75" s="428"/>
      <c r="G75" s="209"/>
      <c r="H75" s="209"/>
      <c r="I75" s="209"/>
      <c r="J75" s="209"/>
      <c r="K75" s="209"/>
      <c r="L75" s="209"/>
      <c r="M75" s="209"/>
      <c r="N75" s="209"/>
      <c r="O75" s="209"/>
      <c r="P75" s="209"/>
    </row>
    <row r="76" spans="1:20" s="74" customFormat="1" ht="11.45" customHeight="1">
      <c r="A76" s="210"/>
      <c r="B76" s="210"/>
      <c r="C76" s="210"/>
      <c r="D76" s="210"/>
      <c r="E76" s="210"/>
      <c r="F76" s="550" t="s">
        <v>5</v>
      </c>
      <c r="G76" s="550"/>
      <c r="H76" s="550"/>
      <c r="I76" s="210"/>
      <c r="J76" s="129"/>
      <c r="K76" s="134" t="s">
        <v>254</v>
      </c>
      <c r="L76" s="134"/>
      <c r="M76" s="210"/>
      <c r="N76" s="479" t="s">
        <v>20</v>
      </c>
      <c r="O76" s="420"/>
      <c r="P76" s="384"/>
      <c r="T76" s="74" t="s">
        <v>0</v>
      </c>
    </row>
    <row r="77" spans="1:20" s="74" customFormat="1" ht="11.45" customHeight="1">
      <c r="A77" s="210"/>
      <c r="B77" s="210"/>
      <c r="C77" s="210"/>
      <c r="D77" s="210"/>
      <c r="E77" s="210"/>
      <c r="F77" s="549" t="s">
        <v>249</v>
      </c>
      <c r="G77" s="549"/>
      <c r="H77" s="549"/>
      <c r="I77" s="210"/>
      <c r="J77" s="129"/>
      <c r="K77" s="526" t="s">
        <v>249</v>
      </c>
      <c r="L77" s="134"/>
      <c r="M77" s="210"/>
      <c r="N77" s="478" t="s">
        <v>1</v>
      </c>
      <c r="O77" s="388"/>
      <c r="P77" s="384"/>
    </row>
    <row r="78" spans="1:20" s="41" customFormat="1" ht="11.45" customHeight="1">
      <c r="A78" s="133" t="s">
        <v>99</v>
      </c>
      <c r="B78" s="131"/>
      <c r="C78" s="131"/>
      <c r="D78" s="131"/>
      <c r="E78" s="129"/>
      <c r="F78" s="268">
        <v>2017</v>
      </c>
      <c r="G78" s="214"/>
      <c r="H78" s="215">
        <f>+$N$29</f>
        <v>2016</v>
      </c>
      <c r="I78" s="129"/>
      <c r="J78" s="375">
        <v>2017</v>
      </c>
      <c r="K78" s="129"/>
      <c r="L78" s="375">
        <v>2016</v>
      </c>
      <c r="M78" s="129"/>
      <c r="N78" s="215">
        <f>+$N$29</f>
        <v>2016</v>
      </c>
      <c r="O78" s="214"/>
      <c r="P78" s="394"/>
    </row>
    <row r="79" spans="1:20" s="41" customFormat="1" ht="11.45" customHeight="1">
      <c r="A79" s="236"/>
      <c r="B79" s="129"/>
      <c r="C79" s="129"/>
      <c r="D79" s="129"/>
      <c r="E79" s="129"/>
      <c r="F79" s="156" t="s">
        <v>0</v>
      </c>
      <c r="G79" s="156"/>
      <c r="H79" s="156"/>
      <c r="I79" s="129"/>
      <c r="J79" s="129"/>
      <c r="K79" s="129"/>
      <c r="L79" s="129"/>
      <c r="M79" s="129"/>
      <c r="N79" s="156"/>
      <c r="O79" s="156"/>
      <c r="P79" s="156"/>
    </row>
    <row r="80" spans="1:20" s="41" customFormat="1" ht="11.45" customHeight="1">
      <c r="A80" s="130"/>
      <c r="B80" s="130" t="s">
        <v>68</v>
      </c>
      <c r="C80" s="130"/>
      <c r="D80" s="130"/>
      <c r="E80" s="129"/>
      <c r="F80" s="145">
        <v>-56.674999999999997</v>
      </c>
      <c r="G80" s="145"/>
      <c r="H80" s="145">
        <v>-55.3</v>
      </c>
      <c r="I80" s="129"/>
      <c r="J80" s="145">
        <f>-113.2+F80</f>
        <v>-169.875</v>
      </c>
      <c r="K80" s="129"/>
      <c r="L80" s="145">
        <v>-164</v>
      </c>
      <c r="M80" s="129"/>
      <c r="N80" s="145">
        <v>-218.7</v>
      </c>
      <c r="O80" s="145"/>
      <c r="P80" s="145"/>
    </row>
    <row r="81" spans="1:17" s="41" customFormat="1" ht="11.45" customHeight="1">
      <c r="A81" s="442"/>
      <c r="B81" s="131" t="s">
        <v>109</v>
      </c>
      <c r="C81" s="442"/>
      <c r="D81" s="443"/>
      <c r="E81" s="172"/>
      <c r="F81" s="186">
        <v>29.596</v>
      </c>
      <c r="G81" s="145"/>
      <c r="H81" s="186">
        <v>23.3</v>
      </c>
      <c r="I81" s="172"/>
      <c r="J81" s="186">
        <f>25.8+F81</f>
        <v>55.396000000000001</v>
      </c>
      <c r="K81" s="172"/>
      <c r="L81" s="145">
        <v>49</v>
      </c>
      <c r="M81" s="172"/>
      <c r="N81" s="186">
        <v>61.7</v>
      </c>
      <c r="O81" s="145"/>
      <c r="P81" s="188"/>
    </row>
    <row r="82" spans="1:17" s="41" customFormat="1" ht="16.5" customHeight="1">
      <c r="A82" s="387"/>
      <c r="B82" s="132" t="s">
        <v>202</v>
      </c>
      <c r="C82" s="131"/>
      <c r="D82" s="131"/>
      <c r="E82" s="129"/>
      <c r="F82" s="147">
        <f>SUM(F80:F81)</f>
        <v>-27.078999999999997</v>
      </c>
      <c r="G82" s="145"/>
      <c r="H82" s="147">
        <f>SUM(H80:H81)+0.1</f>
        <v>-31.899999999999995</v>
      </c>
      <c r="I82" s="129"/>
      <c r="J82" s="147">
        <f>SUM(J80:J81)</f>
        <v>-114.479</v>
      </c>
      <c r="K82" s="129"/>
      <c r="L82" s="147">
        <f>SUM(L80:L81)</f>
        <v>-115</v>
      </c>
      <c r="M82" s="129"/>
      <c r="N82" s="147">
        <f>SUM(N80:N81)</f>
        <v>-157</v>
      </c>
      <c r="O82" s="145"/>
      <c r="P82" s="144"/>
    </row>
    <row r="83" spans="1:17" s="41" customFormat="1" ht="11.45" customHeight="1">
      <c r="A83" s="130"/>
      <c r="B83" s="130"/>
      <c r="C83" s="130"/>
      <c r="D83" s="130"/>
      <c r="E83" s="130"/>
      <c r="F83" s="262"/>
      <c r="G83" s="223"/>
      <c r="H83" s="269"/>
      <c r="I83" s="130"/>
      <c r="J83" s="130"/>
      <c r="K83" s="130"/>
      <c r="L83" s="130"/>
      <c r="M83" s="130"/>
      <c r="N83" s="269"/>
      <c r="O83" s="223"/>
      <c r="P83" s="223"/>
    </row>
    <row r="84" spans="1:17" s="41" customFormat="1" ht="11.45" customHeight="1" thickBot="1">
      <c r="A84" s="462" t="s">
        <v>221</v>
      </c>
      <c r="B84" s="209"/>
      <c r="C84" s="209"/>
      <c r="D84" s="209"/>
      <c r="E84" s="209"/>
      <c r="F84" s="235"/>
      <c r="G84" s="223"/>
      <c r="H84" s="223"/>
      <c r="I84" s="209"/>
      <c r="J84" s="209"/>
      <c r="K84" s="209"/>
      <c r="L84" s="209"/>
      <c r="M84" s="209"/>
      <c r="N84" s="235"/>
      <c r="O84" s="235"/>
      <c r="P84" s="235"/>
      <c r="Q84" s="53"/>
    </row>
    <row r="85" spans="1:17" s="74" customFormat="1" ht="11.45" customHeight="1">
      <c r="A85" s="210"/>
      <c r="B85" s="210"/>
      <c r="C85" s="210"/>
      <c r="D85" s="210"/>
      <c r="E85" s="210"/>
      <c r="F85" s="555" t="s">
        <v>5</v>
      </c>
      <c r="G85" s="550"/>
      <c r="H85" s="550"/>
      <c r="I85" s="210"/>
      <c r="J85" s="129"/>
      <c r="K85" s="134" t="s">
        <v>254</v>
      </c>
      <c r="L85" s="134"/>
      <c r="M85" s="210"/>
      <c r="N85" s="479" t="s">
        <v>20</v>
      </c>
      <c r="O85" s="466"/>
      <c r="P85" s="466"/>
    </row>
    <row r="86" spans="1:17" s="74" customFormat="1" ht="11.45" customHeight="1">
      <c r="A86" s="210"/>
      <c r="B86" s="210"/>
      <c r="C86" s="210"/>
      <c r="D86" s="210"/>
      <c r="E86" s="210"/>
      <c r="F86" s="549" t="s">
        <v>249</v>
      </c>
      <c r="G86" s="549"/>
      <c r="H86" s="549"/>
      <c r="I86" s="210"/>
      <c r="J86" s="129"/>
      <c r="K86" s="514" t="s">
        <v>249</v>
      </c>
      <c r="L86" s="134"/>
      <c r="M86" s="210"/>
      <c r="N86" s="478" t="s">
        <v>1</v>
      </c>
      <c r="O86" s="388"/>
      <c r="P86" s="466"/>
    </row>
    <row r="87" spans="1:17" s="41" customFormat="1" ht="11.45" customHeight="1">
      <c r="A87" s="133" t="s">
        <v>99</v>
      </c>
      <c r="B87" s="131"/>
      <c r="C87" s="131"/>
      <c r="D87" s="131"/>
      <c r="E87" s="129"/>
      <c r="F87" s="268">
        <v>2017</v>
      </c>
      <c r="G87" s="214"/>
      <c r="H87" s="215">
        <f>+$N$29</f>
        <v>2016</v>
      </c>
      <c r="I87" s="129"/>
      <c r="J87" s="375">
        <v>2017</v>
      </c>
      <c r="K87" s="129"/>
      <c r="L87" s="375">
        <v>2016</v>
      </c>
      <c r="M87" s="129"/>
      <c r="N87" s="215">
        <f>+$N$29</f>
        <v>2016</v>
      </c>
      <c r="O87" s="214"/>
      <c r="P87" s="394"/>
    </row>
    <row r="88" spans="1:17" s="41" customFormat="1" ht="11.45" customHeight="1">
      <c r="A88" s="236"/>
      <c r="B88" s="129"/>
      <c r="C88" s="129"/>
      <c r="D88" s="129"/>
      <c r="E88" s="129"/>
      <c r="F88" s="156" t="s">
        <v>0</v>
      </c>
      <c r="G88" s="156"/>
      <c r="H88" s="156"/>
      <c r="I88" s="129"/>
      <c r="J88" s="129"/>
      <c r="K88" s="129"/>
      <c r="L88" s="129"/>
      <c r="M88" s="129"/>
      <c r="N88" s="156"/>
      <c r="O88" s="156"/>
      <c r="P88" s="156"/>
    </row>
    <row r="89" spans="1:17" s="41" customFormat="1" ht="11.45" customHeight="1">
      <c r="A89" s="131"/>
      <c r="B89" s="131" t="s">
        <v>244</v>
      </c>
      <c r="C89" s="131"/>
      <c r="D89" s="131"/>
      <c r="E89" s="129"/>
      <c r="F89" s="145">
        <f>-26.57222-1.9</f>
        <v>-28.47222</v>
      </c>
      <c r="G89" s="145"/>
      <c r="H89" s="145">
        <v>0</v>
      </c>
      <c r="I89" s="129"/>
      <c r="J89" s="502">
        <f>-9.9+F89</f>
        <v>-38.372219999999999</v>
      </c>
      <c r="K89" s="129"/>
      <c r="L89" s="145">
        <v>-4.2</v>
      </c>
      <c r="M89" s="129"/>
      <c r="N89" s="145">
        <v>-12</v>
      </c>
      <c r="O89" s="145"/>
      <c r="P89" s="145"/>
    </row>
    <row r="90" spans="1:17" s="44" customFormat="1" ht="11.45" hidden="1" customHeight="1">
      <c r="A90" s="129"/>
      <c r="B90" s="129" t="s">
        <v>211</v>
      </c>
      <c r="C90" s="131"/>
      <c r="D90" s="131"/>
      <c r="E90" s="129"/>
      <c r="F90" s="146">
        <v>0</v>
      </c>
      <c r="G90" s="146"/>
      <c r="H90" s="146">
        <v>0</v>
      </c>
      <c r="I90" s="129"/>
      <c r="J90" s="129"/>
      <c r="K90" s="129"/>
      <c r="L90" s="129"/>
      <c r="M90" s="129"/>
      <c r="N90" s="146">
        <v>0</v>
      </c>
      <c r="O90" s="146"/>
      <c r="P90" s="146"/>
    </row>
    <row r="91" spans="1:17" s="41" customFormat="1" ht="15.75" customHeight="1">
      <c r="A91" s="387"/>
      <c r="B91" s="132" t="s">
        <v>202</v>
      </c>
      <c r="C91" s="131"/>
      <c r="D91" s="131"/>
      <c r="E91" s="129"/>
      <c r="F91" s="147">
        <f>SUM(F89:F90)</f>
        <v>-28.47222</v>
      </c>
      <c r="G91" s="145"/>
      <c r="H91" s="147">
        <f>SUM(H89:H90)</f>
        <v>0</v>
      </c>
      <c r="I91" s="129"/>
      <c r="J91" s="147">
        <f>SUM(J89:J90)</f>
        <v>-38.372219999999999</v>
      </c>
      <c r="K91" s="129"/>
      <c r="L91" s="147">
        <f>SUM(L89:L90)</f>
        <v>-4.2</v>
      </c>
      <c r="M91" s="129"/>
      <c r="N91" s="147">
        <f>SUM(N89:N90)</f>
        <v>-12</v>
      </c>
      <c r="O91" s="145"/>
      <c r="P91" s="144"/>
    </row>
    <row r="92" spans="1:17" s="41" customFormat="1" ht="11.45" customHeight="1">
      <c r="A92" s="129"/>
      <c r="B92" s="128"/>
      <c r="C92" s="129"/>
      <c r="D92" s="129"/>
      <c r="E92" s="129"/>
      <c r="F92" s="144"/>
      <c r="G92" s="145"/>
      <c r="H92" s="144"/>
      <c r="I92" s="129"/>
      <c r="J92" s="129"/>
      <c r="K92" s="129"/>
      <c r="L92" s="129"/>
      <c r="M92" s="129"/>
      <c r="N92" s="144"/>
      <c r="O92" s="145"/>
      <c r="P92" s="144"/>
    </row>
    <row r="93" spans="1:17" s="41" customFormat="1" ht="11.45" customHeight="1">
      <c r="A93" s="129"/>
      <c r="B93" s="128"/>
      <c r="C93" s="129"/>
      <c r="D93" s="129"/>
      <c r="E93" s="129"/>
      <c r="F93" s="144"/>
      <c r="G93" s="145"/>
      <c r="H93" s="144"/>
      <c r="I93" s="129"/>
      <c r="J93" s="129"/>
      <c r="K93" s="129"/>
      <c r="L93" s="129"/>
      <c r="M93" s="129"/>
      <c r="N93" s="144"/>
      <c r="O93" s="145"/>
      <c r="P93" s="144"/>
    </row>
    <row r="94" spans="1:17" s="41" customFormat="1" ht="11.25" customHeight="1" thickBot="1">
      <c r="A94" s="209" t="s">
        <v>225</v>
      </c>
      <c r="B94" s="209"/>
      <c r="C94" s="209"/>
      <c r="D94" s="209"/>
      <c r="E94" s="209"/>
      <c r="F94" s="428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53"/>
    </row>
    <row r="95" spans="1:17" s="41" customFormat="1" ht="11.25" customHeight="1">
      <c r="A95" s="210"/>
      <c r="B95" s="210"/>
      <c r="C95" s="210"/>
      <c r="D95" s="210"/>
      <c r="E95" s="210"/>
      <c r="F95" s="550" t="s">
        <v>5</v>
      </c>
      <c r="G95" s="550"/>
      <c r="H95" s="550"/>
      <c r="I95" s="210"/>
      <c r="J95" s="129"/>
      <c r="K95" s="134" t="s">
        <v>254</v>
      </c>
      <c r="L95" s="134"/>
      <c r="M95" s="210"/>
      <c r="N95" s="479" t="s">
        <v>20</v>
      </c>
      <c r="O95" s="470"/>
      <c r="P95" s="471"/>
      <c r="Q95" s="53"/>
    </row>
    <row r="96" spans="1:17" s="41" customFormat="1" ht="11.25" customHeight="1">
      <c r="A96" s="210"/>
      <c r="B96" s="210"/>
      <c r="C96" s="210"/>
      <c r="D96" s="210"/>
      <c r="E96" s="210"/>
      <c r="F96" s="549" t="s">
        <v>249</v>
      </c>
      <c r="G96" s="549"/>
      <c r="H96" s="549"/>
      <c r="I96" s="210"/>
      <c r="J96" s="129"/>
      <c r="K96" s="514" t="s">
        <v>249</v>
      </c>
      <c r="L96" s="134"/>
      <c r="M96" s="210"/>
      <c r="N96" s="478" t="s">
        <v>1</v>
      </c>
      <c r="O96" s="388"/>
      <c r="P96" s="471"/>
      <c r="Q96" s="53"/>
    </row>
    <row r="97" spans="1:19" s="41" customFormat="1" ht="14.25" customHeight="1">
      <c r="A97" s="133" t="s">
        <v>99</v>
      </c>
      <c r="B97" s="131"/>
      <c r="C97" s="131"/>
      <c r="D97" s="131"/>
      <c r="E97" s="129"/>
      <c r="F97" s="268">
        <v>2017</v>
      </c>
      <c r="G97" s="214"/>
      <c r="H97" s="215">
        <f>+$N$29</f>
        <v>2016</v>
      </c>
      <c r="I97" s="129"/>
      <c r="J97" s="375">
        <v>2017</v>
      </c>
      <c r="K97" s="129"/>
      <c r="L97" s="375">
        <v>2016</v>
      </c>
      <c r="M97" s="129"/>
      <c r="N97" s="215">
        <f>+$N$29</f>
        <v>2016</v>
      </c>
      <c r="O97" s="214"/>
      <c r="P97" s="394"/>
      <c r="Q97" s="53"/>
    </row>
    <row r="98" spans="1:19" s="41" customFormat="1" ht="11.25" customHeight="1">
      <c r="A98" s="236"/>
      <c r="B98" s="129" t="s">
        <v>0</v>
      </c>
      <c r="C98" s="129"/>
      <c r="D98" s="129"/>
      <c r="E98" s="129"/>
      <c r="F98" s="146"/>
      <c r="G98" s="146"/>
      <c r="H98" s="333"/>
      <c r="I98" s="146"/>
      <c r="J98" s="146"/>
      <c r="K98" s="146"/>
      <c r="L98" s="146"/>
      <c r="M98" s="146"/>
      <c r="N98" s="146"/>
      <c r="O98" s="214"/>
      <c r="P98" s="394"/>
      <c r="Q98" s="520"/>
    </row>
    <row r="99" spans="1:19" s="41" customFormat="1" ht="11.25" customHeight="1">
      <c r="A99" s="129"/>
      <c r="B99" s="129" t="s">
        <v>226</v>
      </c>
      <c r="C99" s="129"/>
      <c r="D99" s="129"/>
      <c r="E99" s="129"/>
      <c r="F99" s="146">
        <v>5.8000000000000003E-2</v>
      </c>
      <c r="G99" s="146"/>
      <c r="H99" s="333">
        <v>-0.8</v>
      </c>
      <c r="I99" s="146"/>
      <c r="J99" s="146">
        <f>-0.687+F99</f>
        <v>-0.629</v>
      </c>
      <c r="K99" s="146"/>
      <c r="L99" s="333">
        <v>-4.2</v>
      </c>
      <c r="M99" s="146"/>
      <c r="N99" s="146">
        <v>-4.7</v>
      </c>
      <c r="O99" s="146"/>
      <c r="P99" s="146"/>
      <c r="Q99" s="520"/>
    </row>
    <row r="100" spans="1:19" s="41" customFormat="1" ht="11.25" customHeight="1">
      <c r="A100" s="129"/>
      <c r="B100" s="129" t="s">
        <v>227</v>
      </c>
      <c r="C100" s="129"/>
      <c r="D100" s="129"/>
      <c r="E100" s="129"/>
      <c r="F100" s="146">
        <f>3.236</f>
        <v>3.2360000000000002</v>
      </c>
      <c r="G100" s="146"/>
      <c r="H100" s="333">
        <v>3.5569999999999999</v>
      </c>
      <c r="I100" s="146"/>
      <c r="J100" s="146">
        <f>2.781+F100</f>
        <v>6.0170000000000003</v>
      </c>
      <c r="K100" s="146"/>
      <c r="L100" s="333">
        <v>3.8140000000000001</v>
      </c>
      <c r="M100" s="146"/>
      <c r="N100" s="146">
        <v>4.0670000000000002</v>
      </c>
      <c r="O100" s="145"/>
      <c r="P100" s="145"/>
      <c r="Q100" s="520"/>
    </row>
    <row r="101" spans="1:19" s="41" customFormat="1" ht="11.25" customHeight="1">
      <c r="A101" s="129"/>
      <c r="B101" s="129" t="s">
        <v>256</v>
      </c>
      <c r="C101" s="129"/>
      <c r="D101" s="129"/>
      <c r="E101" s="129"/>
      <c r="F101" s="146">
        <v>-16</v>
      </c>
      <c r="G101" s="146"/>
      <c r="H101" s="146">
        <v>0.54600000000000004</v>
      </c>
      <c r="I101" s="146"/>
      <c r="J101" s="146">
        <f>F101</f>
        <v>-16</v>
      </c>
      <c r="K101" s="146"/>
      <c r="L101" s="146">
        <v>-2.4540000000000002</v>
      </c>
      <c r="M101" s="146"/>
      <c r="N101" s="146">
        <v>-0.34200000000000003</v>
      </c>
      <c r="O101" s="145"/>
      <c r="P101" s="145"/>
      <c r="Q101" s="520"/>
    </row>
    <row r="102" spans="1:19" s="41" customFormat="1" ht="11.45" customHeight="1">
      <c r="A102" s="129"/>
      <c r="B102" s="129" t="s">
        <v>132</v>
      </c>
      <c r="C102" s="131"/>
      <c r="D102" s="131"/>
      <c r="E102" s="129"/>
      <c r="F102" s="146">
        <v>0</v>
      </c>
      <c r="G102" s="146"/>
      <c r="H102" s="333">
        <v>-0.2</v>
      </c>
      <c r="I102" s="146"/>
      <c r="J102" s="146">
        <f>-7.5+F102</f>
        <v>-7.5</v>
      </c>
      <c r="K102" s="146"/>
      <c r="L102" s="333">
        <v>0.4</v>
      </c>
      <c r="M102" s="146"/>
      <c r="N102" s="146">
        <v>0.4</v>
      </c>
      <c r="O102" s="145"/>
      <c r="P102" s="145"/>
    </row>
    <row r="103" spans="1:19" s="41" customFormat="1" ht="11.45" customHeight="1">
      <c r="A103" s="387"/>
      <c r="B103" s="132" t="s">
        <v>202</v>
      </c>
      <c r="C103" s="131"/>
      <c r="D103" s="131"/>
      <c r="E103" s="129"/>
      <c r="F103" s="147">
        <f>SUM(F98:F102)</f>
        <v>-12.706</v>
      </c>
      <c r="G103" s="145"/>
      <c r="H103" s="147">
        <f>SUM(H98:H102)</f>
        <v>3.1029999999999998</v>
      </c>
      <c r="I103" s="129"/>
      <c r="J103" s="147">
        <f>SUM(J98:J102)</f>
        <v>-18.112000000000002</v>
      </c>
      <c r="K103" s="129"/>
      <c r="L103" s="335">
        <f>SUM(L98:L102)-0.1</f>
        <v>-2.5400000000000005</v>
      </c>
      <c r="M103" s="129"/>
      <c r="N103" s="147">
        <f>SUM(N98:N102)</f>
        <v>-0.57500000000000007</v>
      </c>
      <c r="O103" s="145"/>
      <c r="P103" s="144"/>
    </row>
    <row r="104" spans="1:19" s="41" customFormat="1" ht="15" customHeight="1">
      <c r="A104" s="129"/>
      <c r="B104" s="128"/>
      <c r="C104" s="129"/>
      <c r="D104" s="129"/>
      <c r="E104" s="129"/>
      <c r="F104" s="144"/>
      <c r="G104" s="145"/>
      <c r="H104" s="144"/>
      <c r="I104" s="129"/>
      <c r="J104" s="129"/>
      <c r="K104" s="129"/>
      <c r="L104" s="129"/>
      <c r="M104" s="129"/>
      <c r="N104" s="144"/>
      <c r="O104" s="145"/>
      <c r="P104" s="144"/>
      <c r="Q104" s="77"/>
      <c r="R104" s="77"/>
      <c r="S104" s="76"/>
    </row>
    <row r="105" spans="1:19" s="41" customFormat="1" ht="15" customHeight="1">
      <c r="A105" s="383" t="s">
        <v>235</v>
      </c>
      <c r="C105" s="129"/>
      <c r="D105" s="129"/>
      <c r="E105" s="129"/>
      <c r="F105" s="144"/>
      <c r="G105" s="145"/>
      <c r="H105" s="144"/>
      <c r="I105" s="129"/>
      <c r="J105" s="129"/>
      <c r="K105" s="129"/>
      <c r="L105" s="129"/>
      <c r="M105" s="129"/>
      <c r="N105" s="144"/>
      <c r="O105" s="145"/>
      <c r="P105" s="144"/>
      <c r="Q105" s="77"/>
      <c r="R105" s="77"/>
      <c r="S105" s="76"/>
    </row>
    <row r="106" spans="1:19" s="41" customFormat="1" ht="11.45" customHeight="1">
      <c r="A106" s="389"/>
      <c r="B106" s="130"/>
      <c r="C106" s="130"/>
      <c r="D106" s="130"/>
      <c r="E106" s="130"/>
      <c r="F106" s="223"/>
      <c r="G106" s="223"/>
      <c r="H106" s="223"/>
      <c r="I106" s="130"/>
      <c r="J106" s="130"/>
      <c r="K106" s="130"/>
      <c r="L106" s="130"/>
      <c r="M106" s="130"/>
      <c r="N106" s="223"/>
      <c r="O106" s="223"/>
      <c r="P106" s="223"/>
      <c r="Q106" s="53"/>
    </row>
    <row r="107" spans="1:19" s="41" customFormat="1" ht="15" customHeight="1">
      <c r="A107" s="383" t="s">
        <v>187</v>
      </c>
      <c r="B107" s="382"/>
      <c r="C107" s="382"/>
      <c r="D107" s="382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77"/>
      <c r="R107" s="77"/>
      <c r="S107" s="76"/>
    </row>
    <row r="108" spans="1:19" s="41" customFormat="1" ht="11.45" customHeight="1">
      <c r="A108" s="227"/>
      <c r="B108" s="130"/>
      <c r="C108" s="130"/>
      <c r="D108" s="130"/>
      <c r="E108" s="130"/>
      <c r="F108" s="232"/>
      <c r="G108" s="223"/>
      <c r="H108" s="223"/>
      <c r="I108" s="130"/>
      <c r="J108" s="130"/>
      <c r="K108" s="130"/>
      <c r="L108" s="130"/>
      <c r="M108" s="130"/>
      <c r="N108" s="223"/>
      <c r="O108" s="223"/>
      <c r="P108" s="223"/>
    </row>
    <row r="109" spans="1:19" s="41" customFormat="1" ht="11.45" customHeight="1" thickBot="1">
      <c r="A109" s="209" t="s">
        <v>105</v>
      </c>
      <c r="B109" s="209"/>
      <c r="C109" s="209"/>
      <c r="D109" s="209"/>
      <c r="E109" s="209"/>
      <c r="F109" s="235"/>
      <c r="G109" s="235"/>
      <c r="H109" s="235"/>
      <c r="I109" s="209"/>
      <c r="J109" s="209"/>
      <c r="K109" s="209"/>
      <c r="L109" s="209"/>
      <c r="M109" s="209"/>
      <c r="N109" s="235"/>
      <c r="O109" s="235"/>
      <c r="P109" s="235"/>
    </row>
    <row r="110" spans="1:19" s="74" customFormat="1" ht="11.45" customHeight="1">
      <c r="A110" s="210"/>
      <c r="B110" s="210"/>
      <c r="C110" s="210"/>
      <c r="D110" s="210"/>
      <c r="E110" s="210"/>
      <c r="F110" s="550" t="s">
        <v>5</v>
      </c>
      <c r="G110" s="550"/>
      <c r="H110" s="550"/>
      <c r="I110" s="210"/>
      <c r="J110" s="129"/>
      <c r="K110" s="134" t="s">
        <v>254</v>
      </c>
      <c r="L110" s="134"/>
      <c r="M110" s="210"/>
      <c r="N110" s="479" t="s">
        <v>20</v>
      </c>
      <c r="O110" s="451"/>
      <c r="P110" s="384"/>
    </row>
    <row r="111" spans="1:19" s="74" customFormat="1" ht="11.45" customHeight="1">
      <c r="A111" s="210"/>
      <c r="B111" s="210"/>
      <c r="C111" s="210"/>
      <c r="D111" s="210"/>
      <c r="E111" s="210"/>
      <c r="F111" s="549" t="s">
        <v>249</v>
      </c>
      <c r="G111" s="549"/>
      <c r="H111" s="549"/>
      <c r="I111" s="210"/>
      <c r="J111" s="129"/>
      <c r="K111" s="494" t="s">
        <v>249</v>
      </c>
      <c r="L111" s="134"/>
      <c r="M111" s="210"/>
      <c r="N111" s="478" t="s">
        <v>1</v>
      </c>
      <c r="O111" s="388"/>
      <c r="P111" s="384"/>
    </row>
    <row r="112" spans="1:19" s="41" customFormat="1" ht="15" customHeight="1">
      <c r="A112" s="133" t="s">
        <v>99</v>
      </c>
      <c r="B112" s="131"/>
      <c r="C112" s="131"/>
      <c r="D112" s="131"/>
      <c r="E112" s="129"/>
      <c r="F112" s="268">
        <v>2017</v>
      </c>
      <c r="G112" s="214"/>
      <c r="H112" s="215">
        <v>2016</v>
      </c>
      <c r="I112" s="129"/>
      <c r="J112" s="375">
        <v>2017</v>
      </c>
      <c r="K112" s="129"/>
      <c r="L112" s="375">
        <v>2016</v>
      </c>
      <c r="M112" s="129"/>
      <c r="N112" s="215">
        <v>2016</v>
      </c>
      <c r="O112" s="214"/>
      <c r="P112" s="394"/>
    </row>
    <row r="113" spans="1:19" s="41" customFormat="1" ht="11.45" customHeight="1">
      <c r="A113" s="236"/>
      <c r="B113" s="129"/>
      <c r="C113" s="129"/>
      <c r="D113" s="129"/>
      <c r="E113" s="129"/>
      <c r="F113" s="156" t="s">
        <v>0</v>
      </c>
      <c r="G113" s="156"/>
      <c r="H113" s="156"/>
      <c r="I113" s="129"/>
      <c r="J113" s="129"/>
      <c r="K113" s="129"/>
      <c r="L113" s="129"/>
      <c r="M113" s="129"/>
      <c r="N113" s="156"/>
      <c r="O113" s="156"/>
      <c r="P113" s="156"/>
    </row>
    <row r="114" spans="1:19" s="41" customFormat="1" ht="11.45" customHeight="1">
      <c r="A114" s="130"/>
      <c r="B114" s="130" t="s">
        <v>66</v>
      </c>
      <c r="C114" s="130"/>
      <c r="D114" s="130"/>
      <c r="E114" s="129"/>
      <c r="F114" s="145">
        <v>-16.896000000000001</v>
      </c>
      <c r="G114" s="145"/>
      <c r="H114" s="145">
        <v>-17.399999999999999</v>
      </c>
      <c r="I114" s="129"/>
      <c r="J114" s="145">
        <f>-30.398+F114</f>
        <v>-47.293999999999997</v>
      </c>
      <c r="K114" s="129"/>
      <c r="L114" s="145">
        <v>-48.6</v>
      </c>
      <c r="M114" s="129"/>
      <c r="N114" s="145">
        <v>-66.599999999999994</v>
      </c>
      <c r="O114" s="145"/>
      <c r="P114" s="145"/>
      <c r="Q114" s="58"/>
      <c r="R114" s="58"/>
    </row>
    <row r="115" spans="1:19" s="41" customFormat="1" ht="11.45" customHeight="1">
      <c r="A115" s="130"/>
      <c r="B115" s="130" t="s">
        <v>65</v>
      </c>
      <c r="C115" s="130"/>
      <c r="D115" s="130"/>
      <c r="E115" s="129"/>
      <c r="F115" s="146">
        <f>0.788+0.465</f>
        <v>1.2530000000000001</v>
      </c>
      <c r="G115" s="145"/>
      <c r="H115" s="146">
        <v>1.8</v>
      </c>
      <c r="I115" s="129"/>
      <c r="J115" s="146">
        <f>2.338+F115</f>
        <v>3.5910000000000002</v>
      </c>
      <c r="K115" s="129"/>
      <c r="L115" s="145">
        <v>10.6</v>
      </c>
      <c r="M115" s="129"/>
      <c r="N115" s="146">
        <v>12.6</v>
      </c>
      <c r="O115" s="145"/>
      <c r="P115" s="145"/>
      <c r="Q115" s="58"/>
      <c r="R115" s="58"/>
    </row>
    <row r="116" spans="1:19" s="41" customFormat="1" ht="11.45" customHeight="1">
      <c r="A116" s="130"/>
      <c r="B116" s="131" t="s">
        <v>64</v>
      </c>
      <c r="C116" s="131"/>
      <c r="D116" s="131"/>
      <c r="E116" s="129"/>
      <c r="F116" s="146">
        <v>0</v>
      </c>
      <c r="G116" s="145"/>
      <c r="H116" s="146">
        <v>1.6</v>
      </c>
      <c r="I116" s="129"/>
      <c r="J116" s="146">
        <f>1.76+F116</f>
        <v>1.76</v>
      </c>
      <c r="K116" s="129"/>
      <c r="L116" s="145">
        <v>6.2</v>
      </c>
      <c r="M116" s="129"/>
      <c r="N116" s="146">
        <v>7.9</v>
      </c>
      <c r="O116" s="145"/>
      <c r="P116" s="145"/>
      <c r="Q116" s="58"/>
      <c r="R116" s="58"/>
    </row>
    <row r="117" spans="1:19" s="275" customFormat="1" ht="11.45" customHeight="1">
      <c r="A117" s="132"/>
      <c r="B117" s="385" t="s">
        <v>42</v>
      </c>
      <c r="C117" s="385"/>
      <c r="D117" s="385"/>
      <c r="E117" s="128"/>
      <c r="F117" s="147">
        <f>SUM(F114:F116)</f>
        <v>-15.643000000000001</v>
      </c>
      <c r="G117" s="143"/>
      <c r="H117" s="147">
        <f>SUM(H114:H116)+0.1</f>
        <v>-13.899999999999999</v>
      </c>
      <c r="I117" s="128"/>
      <c r="J117" s="147">
        <f>SUM(J114:J116)</f>
        <v>-41.942999999999998</v>
      </c>
      <c r="K117" s="128"/>
      <c r="L117" s="147">
        <f>SUM(L114:L116)+0.1</f>
        <v>-31.7</v>
      </c>
      <c r="M117" s="128"/>
      <c r="N117" s="147">
        <f>SUM(N114:N116)</f>
        <v>-46.099999999999994</v>
      </c>
      <c r="O117" s="143"/>
      <c r="P117" s="144"/>
      <c r="Q117" s="391"/>
      <c r="R117" s="391"/>
    </row>
    <row r="118" spans="1:19" s="41" customFormat="1" ht="11.45" customHeight="1">
      <c r="A118" s="389"/>
      <c r="B118" s="130"/>
      <c r="C118" s="130"/>
      <c r="D118" s="130"/>
      <c r="E118" s="130"/>
      <c r="F118" s="262"/>
      <c r="G118" s="223"/>
      <c r="H118" s="223"/>
      <c r="I118" s="130"/>
      <c r="J118" s="130"/>
      <c r="K118" s="130"/>
      <c r="L118" s="130"/>
      <c r="M118" s="130"/>
      <c r="N118" s="223"/>
      <c r="O118" s="223"/>
      <c r="P118" s="223"/>
      <c r="Q118" s="58"/>
      <c r="R118" s="58"/>
    </row>
    <row r="119" spans="1:19" s="41" customFormat="1" ht="11.45" customHeight="1">
      <c r="A119" s="129"/>
      <c r="B119" s="129"/>
      <c r="C119" s="129"/>
      <c r="D119" s="129"/>
      <c r="E119" s="130"/>
      <c r="F119" s="225"/>
      <c r="G119" s="223"/>
      <c r="H119" s="224"/>
      <c r="I119" s="130"/>
      <c r="J119" s="130"/>
      <c r="K119" s="130"/>
      <c r="L119" s="130"/>
      <c r="M119" s="130"/>
      <c r="N119" s="224"/>
      <c r="O119" s="223"/>
      <c r="P119" s="224"/>
      <c r="Q119" s="58"/>
      <c r="R119" s="58"/>
    </row>
    <row r="120" spans="1:19" s="41" customFormat="1" ht="15" customHeight="1">
      <c r="A120" s="383" t="s">
        <v>188</v>
      </c>
      <c r="B120" s="382"/>
      <c r="C120" s="382"/>
      <c r="D120" s="382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399"/>
      <c r="R120" s="399"/>
      <c r="S120" s="76"/>
    </row>
    <row r="121" spans="1:19" s="41" customFormat="1" ht="11.45" customHeight="1">
      <c r="A121" s="227"/>
      <c r="B121" s="130"/>
      <c r="C121" s="130"/>
      <c r="D121" s="130"/>
      <c r="E121" s="130"/>
      <c r="F121" s="232"/>
      <c r="G121" s="223"/>
      <c r="H121" s="223"/>
      <c r="I121" s="130"/>
      <c r="J121" s="130"/>
      <c r="K121" s="130"/>
      <c r="L121" s="130"/>
      <c r="M121" s="130"/>
      <c r="N121" s="223"/>
      <c r="O121" s="223"/>
      <c r="P121" s="223"/>
      <c r="Q121" s="58"/>
      <c r="R121" s="58"/>
    </row>
    <row r="122" spans="1:19" s="41" customFormat="1" ht="11.45" customHeight="1" thickBot="1">
      <c r="A122" s="209" t="s">
        <v>107</v>
      </c>
      <c r="B122" s="209"/>
      <c r="C122" s="209"/>
      <c r="D122" s="209"/>
      <c r="E122" s="209"/>
      <c r="F122" s="235"/>
      <c r="G122" s="235"/>
      <c r="H122" s="235"/>
      <c r="I122" s="209"/>
      <c r="J122" s="209"/>
      <c r="K122" s="209"/>
      <c r="L122" s="209"/>
      <c r="M122" s="209"/>
      <c r="N122" s="235"/>
      <c r="O122" s="235"/>
      <c r="P122" s="235"/>
      <c r="Q122" s="52"/>
      <c r="R122" s="52"/>
    </row>
    <row r="123" spans="1:19" s="74" customFormat="1" ht="11.45" customHeight="1">
      <c r="A123" s="210"/>
      <c r="B123" s="210"/>
      <c r="C123" s="210"/>
      <c r="D123" s="210"/>
      <c r="E123" s="210"/>
      <c r="F123" s="550" t="s">
        <v>5</v>
      </c>
      <c r="G123" s="550"/>
      <c r="H123" s="550"/>
      <c r="I123" s="210"/>
      <c r="J123" s="129"/>
      <c r="K123" s="134" t="s">
        <v>254</v>
      </c>
      <c r="L123" s="134"/>
      <c r="M123" s="210"/>
      <c r="N123" s="479" t="s">
        <v>20</v>
      </c>
      <c r="O123" s="420"/>
      <c r="P123" s="384"/>
    </row>
    <row r="124" spans="1:19" s="74" customFormat="1" ht="11.45" customHeight="1">
      <c r="A124" s="210"/>
      <c r="B124" s="210"/>
      <c r="C124" s="210"/>
      <c r="D124" s="210"/>
      <c r="E124" s="210"/>
      <c r="F124" s="549" t="s">
        <v>249</v>
      </c>
      <c r="G124" s="549"/>
      <c r="H124" s="549"/>
      <c r="I124" s="210"/>
      <c r="J124" s="129"/>
      <c r="K124" s="494" t="s">
        <v>249</v>
      </c>
      <c r="L124" s="134"/>
      <c r="M124" s="210"/>
      <c r="N124" s="478" t="s">
        <v>1</v>
      </c>
      <c r="O124" s="421"/>
      <c r="P124" s="384"/>
    </row>
    <row r="125" spans="1:19" s="41" customFormat="1" ht="15.75" customHeight="1">
      <c r="A125" s="133" t="s">
        <v>99</v>
      </c>
      <c r="B125" s="131"/>
      <c r="C125" s="131"/>
      <c r="D125" s="131"/>
      <c r="E125" s="129"/>
      <c r="F125" s="268">
        <v>2017</v>
      </c>
      <c r="G125" s="214"/>
      <c r="H125" s="215">
        <v>2016</v>
      </c>
      <c r="I125" s="129"/>
      <c r="J125" s="375">
        <v>2017</v>
      </c>
      <c r="K125" s="129"/>
      <c r="L125" s="375">
        <v>2016</v>
      </c>
      <c r="M125" s="129"/>
      <c r="N125" s="215">
        <v>2016</v>
      </c>
      <c r="O125" s="214"/>
      <c r="P125" s="394"/>
      <c r="Q125" s="58"/>
      <c r="R125" s="58"/>
    </row>
    <row r="126" spans="1:19" s="41" customFormat="1" ht="11.45" customHeight="1">
      <c r="A126" s="236"/>
      <c r="B126" s="129"/>
      <c r="C126" s="129"/>
      <c r="D126" s="129"/>
      <c r="E126" s="129"/>
      <c r="F126" s="156" t="s">
        <v>0</v>
      </c>
      <c r="G126" s="156"/>
      <c r="H126" s="156"/>
      <c r="I126" s="129"/>
      <c r="J126" s="129"/>
      <c r="K126" s="129"/>
      <c r="L126" s="129"/>
      <c r="M126" s="129"/>
      <c r="N126" s="156"/>
      <c r="O126" s="156"/>
      <c r="P126" s="156"/>
      <c r="Q126" s="58"/>
      <c r="R126" s="58"/>
    </row>
    <row r="127" spans="1:19" s="41" customFormat="1" ht="11.45" customHeight="1">
      <c r="A127" s="130"/>
      <c r="B127" s="130" t="s">
        <v>63</v>
      </c>
      <c r="C127" s="130"/>
      <c r="D127" s="130"/>
      <c r="E127" s="129"/>
      <c r="F127" s="146">
        <v>0.47299999999999998</v>
      </c>
      <c r="G127" s="145"/>
      <c r="H127" s="146">
        <v>0.8</v>
      </c>
      <c r="I127" s="129"/>
      <c r="J127" s="146">
        <f>0.484+F127</f>
        <v>0.95699999999999996</v>
      </c>
      <c r="K127" s="129"/>
      <c r="L127" s="146">
        <v>2.6</v>
      </c>
      <c r="M127" s="129"/>
      <c r="N127" s="146">
        <v>3.4</v>
      </c>
      <c r="O127" s="145"/>
      <c r="P127" s="145"/>
      <c r="Q127" s="58"/>
      <c r="R127" s="58"/>
    </row>
    <row r="128" spans="1:19" s="41" customFormat="1" ht="11.45" customHeight="1">
      <c r="A128" s="130"/>
      <c r="B128" s="448" t="s">
        <v>95</v>
      </c>
      <c r="C128" s="448"/>
      <c r="D128" s="448"/>
      <c r="E128" s="129"/>
      <c r="F128" s="146">
        <v>-3.335</v>
      </c>
      <c r="G128" s="145"/>
      <c r="H128" s="146">
        <v>-0.4</v>
      </c>
      <c r="I128" s="129"/>
      <c r="J128" s="146">
        <f>-2.815+F128</f>
        <v>-6.15</v>
      </c>
      <c r="K128" s="129"/>
      <c r="L128" s="146">
        <v>1</v>
      </c>
      <c r="M128" s="129"/>
      <c r="N128" s="146">
        <v>-5.2</v>
      </c>
      <c r="O128" s="145"/>
      <c r="P128" s="145"/>
      <c r="Q128" s="58"/>
      <c r="R128" s="58"/>
    </row>
    <row r="129" spans="1:19" s="41" customFormat="1" ht="11.45" customHeight="1">
      <c r="A129" s="130"/>
      <c r="B129" s="130" t="s">
        <v>62</v>
      </c>
      <c r="C129" s="131"/>
      <c r="D129" s="131"/>
      <c r="E129" s="129"/>
      <c r="F129" s="146">
        <v>-1.41</v>
      </c>
      <c r="G129" s="145"/>
      <c r="H129" s="146">
        <v>-1.6</v>
      </c>
      <c r="I129" s="129"/>
      <c r="J129" s="146">
        <f>4.103+F129</f>
        <v>2.6929999999999996</v>
      </c>
      <c r="K129" s="129"/>
      <c r="L129" s="146">
        <v>-4.0999999999999996</v>
      </c>
      <c r="M129" s="129"/>
      <c r="N129" s="146">
        <v>-4.5</v>
      </c>
      <c r="O129" s="145"/>
      <c r="P129" s="145"/>
      <c r="Q129" s="58"/>
      <c r="R129" s="58"/>
    </row>
    <row r="130" spans="1:19" s="275" customFormat="1" ht="11.45" customHeight="1">
      <c r="A130" s="132"/>
      <c r="B130" s="132" t="s">
        <v>42</v>
      </c>
      <c r="C130" s="385"/>
      <c r="D130" s="385"/>
      <c r="E130" s="128"/>
      <c r="F130" s="147">
        <f>SUM(F127:F129)</f>
        <v>-4.2720000000000002</v>
      </c>
      <c r="G130" s="143"/>
      <c r="H130" s="147">
        <f>SUM(H127:H129)</f>
        <v>-1.2000000000000002</v>
      </c>
      <c r="I130" s="128"/>
      <c r="J130" s="147">
        <f>SUM(J127:J129)</f>
        <v>-2.5000000000000009</v>
      </c>
      <c r="K130" s="128"/>
      <c r="L130" s="147">
        <f>SUM(L127:L129)</f>
        <v>-0.49999999999999956</v>
      </c>
      <c r="M130" s="128"/>
      <c r="N130" s="147">
        <f>SUM(N127:N129)-0.1</f>
        <v>-6.4</v>
      </c>
      <c r="O130" s="143"/>
      <c r="P130" s="144"/>
      <c r="Q130" s="391"/>
      <c r="R130" s="391"/>
    </row>
    <row r="131" spans="1:19" s="58" customFormat="1" ht="11.45" customHeight="1">
      <c r="A131" s="389"/>
      <c r="B131" s="130"/>
      <c r="C131" s="130"/>
      <c r="D131" s="130"/>
      <c r="E131" s="130"/>
      <c r="F131" s="262"/>
      <c r="G131" s="223"/>
      <c r="H131" s="223"/>
      <c r="I131" s="130"/>
      <c r="J131" s="130"/>
      <c r="K131" s="130"/>
      <c r="L131" s="130"/>
      <c r="M131" s="130"/>
      <c r="N131" s="223"/>
      <c r="O131" s="223"/>
      <c r="P131" s="223"/>
      <c r="Q131" s="51"/>
      <c r="R131" s="51"/>
      <c r="S131" s="52"/>
    </row>
    <row r="132" spans="1:19" s="41" customFormat="1" ht="11.45" customHeight="1">
      <c r="A132" s="389"/>
      <c r="B132" s="130"/>
      <c r="C132" s="130"/>
      <c r="D132" s="130"/>
      <c r="E132" s="130"/>
      <c r="F132" s="262"/>
      <c r="G132" s="223"/>
      <c r="H132" s="223"/>
      <c r="I132" s="130"/>
      <c r="J132" s="130"/>
      <c r="K132" s="130"/>
      <c r="L132" s="130"/>
      <c r="M132" s="130"/>
      <c r="N132" s="223"/>
      <c r="O132" s="223"/>
      <c r="P132" s="223"/>
      <c r="Q132" s="50"/>
      <c r="R132" s="58"/>
    </row>
    <row r="133" spans="1:19" s="41" customFormat="1" ht="15" customHeight="1">
      <c r="A133" s="383" t="s">
        <v>230</v>
      </c>
      <c r="B133" s="382"/>
      <c r="C133" s="382"/>
      <c r="D133" s="382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399"/>
      <c r="R133" s="399"/>
      <c r="S133" s="76"/>
    </row>
    <row r="134" spans="1:19" s="41" customFormat="1" ht="11.45" customHeight="1">
      <c r="A134" s="227"/>
      <c r="B134" s="130"/>
      <c r="C134" s="130"/>
      <c r="D134" s="130"/>
      <c r="E134" s="130"/>
      <c r="F134" s="232"/>
      <c r="G134" s="223"/>
      <c r="H134" s="223"/>
      <c r="I134" s="130"/>
      <c r="J134" s="130"/>
      <c r="K134" s="130"/>
      <c r="L134" s="130"/>
      <c r="M134" s="130"/>
      <c r="N134" s="223"/>
      <c r="O134" s="223"/>
      <c r="P134" s="223"/>
      <c r="Q134" s="52"/>
      <c r="R134" s="58"/>
    </row>
    <row r="135" spans="1:19" s="41" customFormat="1" ht="11.45" customHeight="1" thickBot="1">
      <c r="A135" s="209" t="s">
        <v>234</v>
      </c>
      <c r="B135" s="209"/>
      <c r="C135" s="209"/>
      <c r="D135" s="209"/>
      <c r="E135" s="209"/>
      <c r="F135" s="235"/>
      <c r="G135" s="235"/>
      <c r="H135" s="235"/>
      <c r="I135" s="209"/>
      <c r="J135" s="209"/>
      <c r="K135" s="209"/>
      <c r="L135" s="209"/>
      <c r="M135" s="209"/>
      <c r="N135" s="235"/>
      <c r="O135" s="235"/>
      <c r="P135" s="235"/>
      <c r="Q135" s="58"/>
      <c r="R135" s="58"/>
    </row>
    <row r="136" spans="1:19" s="74" customFormat="1" ht="11.45" customHeight="1">
      <c r="A136" s="210"/>
      <c r="B136" s="210"/>
      <c r="C136" s="210"/>
      <c r="D136" s="210"/>
      <c r="E136" s="210"/>
      <c r="F136" s="550" t="s">
        <v>5</v>
      </c>
      <c r="G136" s="550"/>
      <c r="H136" s="550"/>
      <c r="I136" s="210"/>
      <c r="J136" s="129"/>
      <c r="K136" s="134" t="s">
        <v>254</v>
      </c>
      <c r="L136" s="134"/>
      <c r="M136" s="210"/>
      <c r="N136" s="479" t="s">
        <v>20</v>
      </c>
      <c r="O136" s="420"/>
      <c r="P136" s="384"/>
    </row>
    <row r="137" spans="1:19" s="74" customFormat="1" ht="11.45" customHeight="1">
      <c r="A137" s="210"/>
      <c r="B137" s="210"/>
      <c r="C137" s="210"/>
      <c r="D137" s="210"/>
      <c r="E137" s="210"/>
      <c r="F137" s="549" t="s">
        <v>249</v>
      </c>
      <c r="G137" s="549"/>
      <c r="H137" s="549"/>
      <c r="I137" s="210"/>
      <c r="J137" s="129"/>
      <c r="K137" s="494" t="s">
        <v>249</v>
      </c>
      <c r="L137" s="494"/>
      <c r="M137" s="210"/>
      <c r="N137" s="478" t="s">
        <v>1</v>
      </c>
      <c r="O137" s="421"/>
      <c r="P137" s="384"/>
    </row>
    <row r="138" spans="1:19" s="41" customFormat="1" ht="15" customHeight="1">
      <c r="A138" s="133" t="s">
        <v>99</v>
      </c>
      <c r="B138" s="131"/>
      <c r="C138" s="131"/>
      <c r="D138" s="131"/>
      <c r="E138" s="129"/>
      <c r="F138" s="268">
        <v>2017</v>
      </c>
      <c r="G138" s="214"/>
      <c r="H138" s="215">
        <v>2016</v>
      </c>
      <c r="I138" s="129"/>
      <c r="J138" s="375">
        <v>2017</v>
      </c>
      <c r="K138" s="129"/>
      <c r="L138" s="375">
        <v>2016</v>
      </c>
      <c r="M138" s="129"/>
      <c r="N138" s="215">
        <v>2016</v>
      </c>
      <c r="O138" s="214"/>
      <c r="P138" s="394"/>
      <c r="Q138" s="58"/>
      <c r="R138" s="58"/>
    </row>
    <row r="139" spans="1:19" s="41" customFormat="1" ht="11.45" customHeight="1">
      <c r="A139" s="236"/>
      <c r="B139" s="129"/>
      <c r="C139" s="129"/>
      <c r="D139" s="129"/>
      <c r="E139" s="129"/>
      <c r="F139" s="156" t="s">
        <v>0</v>
      </c>
      <c r="G139" s="156"/>
      <c r="H139" s="156"/>
      <c r="I139" s="129"/>
      <c r="J139" s="129"/>
      <c r="K139" s="129"/>
      <c r="L139" s="129"/>
      <c r="M139" s="129"/>
      <c r="N139" s="156"/>
      <c r="O139" s="156"/>
      <c r="P139" s="156"/>
      <c r="Q139" s="58"/>
      <c r="R139" s="58"/>
    </row>
    <row r="140" spans="1:19" s="41" customFormat="1" ht="11.45" customHeight="1">
      <c r="A140" s="130"/>
      <c r="B140" s="130" t="s">
        <v>231</v>
      </c>
      <c r="C140" s="130"/>
      <c r="D140" s="130"/>
      <c r="E140" s="129"/>
      <c r="F140" s="146">
        <v>-0.47399999999999998</v>
      </c>
      <c r="G140" s="145"/>
      <c r="H140" s="146">
        <v>0.7</v>
      </c>
      <c r="I140" s="129"/>
      <c r="J140" s="146">
        <f>-9.105+F140</f>
        <v>-9.5790000000000006</v>
      </c>
      <c r="K140" s="129"/>
      <c r="L140" s="146">
        <v>5.9</v>
      </c>
      <c r="M140" s="129"/>
      <c r="N140" s="146">
        <v>-6.3</v>
      </c>
      <c r="O140" s="145"/>
      <c r="P140" s="145"/>
      <c r="Q140" s="58"/>
      <c r="R140" s="58"/>
    </row>
    <row r="141" spans="1:19" s="41" customFormat="1" ht="11.45" customHeight="1">
      <c r="A141" s="130"/>
      <c r="B141" s="185" t="s">
        <v>261</v>
      </c>
      <c r="C141" s="185"/>
      <c r="D141" s="185"/>
      <c r="E141" s="129"/>
      <c r="F141" s="146">
        <v>-53.262</v>
      </c>
      <c r="G141" s="145"/>
      <c r="H141" s="146">
        <v>4.0999999999999996</v>
      </c>
      <c r="I141" s="129"/>
      <c r="J141" s="146">
        <f>10.924+F141</f>
        <v>-42.338000000000001</v>
      </c>
      <c r="K141" s="129"/>
      <c r="L141" s="146">
        <v>-12.1</v>
      </c>
      <c r="M141" s="129"/>
      <c r="N141" s="146">
        <v>-24.9</v>
      </c>
      <c r="O141" s="145"/>
      <c r="P141" s="145"/>
      <c r="Q141" s="58"/>
      <c r="R141" s="58"/>
    </row>
    <row r="142" spans="1:19" s="275" customFormat="1" ht="11.45" customHeight="1">
      <c r="A142" s="132"/>
      <c r="B142" s="385" t="s">
        <v>42</v>
      </c>
      <c r="C142" s="385"/>
      <c r="D142" s="385"/>
      <c r="E142" s="128"/>
      <c r="F142" s="147">
        <f>SUM(F140:F141)</f>
        <v>-53.735999999999997</v>
      </c>
      <c r="G142" s="143"/>
      <c r="H142" s="147">
        <f>SUM(H140:H141)</f>
        <v>4.8</v>
      </c>
      <c r="I142" s="128"/>
      <c r="J142" s="147">
        <f>SUM(J140:J141)</f>
        <v>-51.917000000000002</v>
      </c>
      <c r="K142" s="128"/>
      <c r="L142" s="147">
        <f>SUM(L140:L141)</f>
        <v>-6.1999999999999993</v>
      </c>
      <c r="M142" s="128"/>
      <c r="N142" s="147">
        <f>SUM(N140:N141)</f>
        <v>-31.2</v>
      </c>
      <c r="O142" s="143"/>
      <c r="P142" s="144"/>
      <c r="Q142" s="391"/>
      <c r="R142" s="391"/>
    </row>
    <row r="143" spans="1:19" s="41" customFormat="1" ht="11.45" customHeight="1">
      <c r="A143" s="389"/>
      <c r="B143" s="130"/>
      <c r="C143" s="130"/>
      <c r="D143" s="130"/>
      <c r="E143" s="130"/>
      <c r="F143" s="262"/>
      <c r="G143" s="223"/>
      <c r="H143" s="223"/>
      <c r="I143" s="130"/>
      <c r="J143" s="130"/>
      <c r="K143" s="130"/>
      <c r="L143" s="130"/>
      <c r="M143" s="130"/>
      <c r="N143" s="223"/>
      <c r="O143" s="223"/>
      <c r="P143" s="223"/>
      <c r="Q143" s="50"/>
      <c r="R143" s="58"/>
    </row>
    <row r="144" spans="1:19" s="41" customFormat="1" ht="11.45" customHeight="1">
      <c r="A144" s="129"/>
      <c r="B144" s="129"/>
      <c r="C144" s="129"/>
      <c r="D144" s="129"/>
      <c r="E144" s="130"/>
      <c r="F144" s="225"/>
      <c r="G144" s="223"/>
      <c r="H144" s="224"/>
      <c r="I144" s="130"/>
      <c r="J144" s="130"/>
      <c r="K144" s="130"/>
      <c r="L144" s="130"/>
      <c r="M144" s="130"/>
      <c r="N144" s="224"/>
      <c r="O144" s="223"/>
      <c r="P144" s="224"/>
      <c r="Q144" s="58"/>
      <c r="R144" s="58"/>
    </row>
    <row r="145" spans="1:19" s="41" customFormat="1" ht="15" customHeight="1">
      <c r="A145" s="383" t="s">
        <v>189</v>
      </c>
      <c r="B145" s="382"/>
      <c r="C145" s="382"/>
      <c r="D145" s="382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399"/>
      <c r="R145" s="399"/>
      <c r="S145" s="76"/>
    </row>
    <row r="146" spans="1:19" s="41" customFormat="1" ht="11.45" customHeight="1">
      <c r="A146" s="227"/>
      <c r="B146" s="130"/>
      <c r="C146" s="130"/>
      <c r="D146" s="130"/>
      <c r="E146" s="130"/>
      <c r="F146" s="232"/>
      <c r="G146" s="223"/>
      <c r="H146" s="223"/>
      <c r="I146" s="130"/>
      <c r="J146" s="130"/>
      <c r="K146" s="130"/>
      <c r="L146" s="130"/>
      <c r="M146" s="130"/>
      <c r="N146" s="223"/>
      <c r="O146" s="223"/>
      <c r="P146" s="223"/>
      <c r="Q146" s="58"/>
      <c r="R146" s="58"/>
    </row>
    <row r="147" spans="1:19" s="41" customFormat="1" ht="11.45" customHeight="1" thickBot="1">
      <c r="A147" s="209" t="s">
        <v>205</v>
      </c>
      <c r="B147" s="209"/>
      <c r="C147" s="209"/>
      <c r="D147" s="209"/>
      <c r="E147" s="209"/>
      <c r="F147" s="235"/>
      <c r="G147" s="235"/>
      <c r="H147" s="235"/>
      <c r="I147" s="209"/>
      <c r="J147" s="209"/>
      <c r="K147" s="209"/>
      <c r="L147" s="209"/>
      <c r="M147" s="209"/>
      <c r="N147" s="235"/>
      <c r="O147" s="235"/>
      <c r="P147" s="235"/>
      <c r="Q147" s="58"/>
      <c r="R147" s="58"/>
    </row>
    <row r="148" spans="1:19" s="74" customFormat="1" ht="15" customHeight="1">
      <c r="A148" s="210"/>
      <c r="B148" s="210"/>
      <c r="C148" s="210"/>
      <c r="D148" s="210"/>
      <c r="E148" s="210"/>
      <c r="F148" s="550" t="s">
        <v>5</v>
      </c>
      <c r="G148" s="550"/>
      <c r="H148" s="550"/>
      <c r="I148" s="210"/>
      <c r="J148" s="129"/>
      <c r="K148" s="134" t="s">
        <v>254</v>
      </c>
      <c r="L148" s="134"/>
      <c r="M148" s="210"/>
      <c r="N148" s="479" t="s">
        <v>20</v>
      </c>
      <c r="O148" s="420"/>
      <c r="P148" s="384"/>
    </row>
    <row r="149" spans="1:19" s="74" customFormat="1" ht="11.45" customHeight="1">
      <c r="A149" s="210"/>
      <c r="B149" s="210"/>
      <c r="C149" s="210"/>
      <c r="D149" s="210"/>
      <c r="E149" s="210"/>
      <c r="F149" s="549" t="s">
        <v>249</v>
      </c>
      <c r="G149" s="549"/>
      <c r="H149" s="549"/>
      <c r="I149" s="210"/>
      <c r="J149" s="129"/>
      <c r="K149" s="494" t="s">
        <v>249</v>
      </c>
      <c r="L149" s="134"/>
      <c r="M149" s="210"/>
      <c r="N149" s="478" t="s">
        <v>1</v>
      </c>
      <c r="O149" s="421"/>
      <c r="P149" s="384"/>
    </row>
    <row r="150" spans="1:19" s="41" customFormat="1" ht="15" customHeight="1">
      <c r="A150" s="133" t="s">
        <v>99</v>
      </c>
      <c r="B150" s="131"/>
      <c r="C150" s="131"/>
      <c r="D150" s="131"/>
      <c r="E150" s="130"/>
      <c r="F150" s="268">
        <v>2017</v>
      </c>
      <c r="G150" s="214"/>
      <c r="H150" s="215">
        <v>2016</v>
      </c>
      <c r="I150" s="130"/>
      <c r="J150" s="375">
        <v>2017</v>
      </c>
      <c r="K150" s="130"/>
      <c r="L150" s="375">
        <v>2016</v>
      </c>
      <c r="M150" s="130"/>
      <c r="N150" s="215">
        <v>2016</v>
      </c>
      <c r="O150" s="214"/>
      <c r="P150" s="394"/>
      <c r="Q150" s="58"/>
      <c r="R150" s="58"/>
    </row>
    <row r="151" spans="1:19" s="41" customFormat="1" ht="11.45" customHeight="1">
      <c r="A151" s="236"/>
      <c r="B151" s="129"/>
      <c r="C151" s="129"/>
      <c r="D151" s="129"/>
      <c r="E151" s="130"/>
      <c r="F151" s="156"/>
      <c r="G151" s="156"/>
      <c r="H151" s="156"/>
      <c r="I151" s="130"/>
      <c r="J151" s="130"/>
      <c r="K151" s="130"/>
      <c r="L151" s="130"/>
      <c r="M151" s="130"/>
      <c r="N151" s="156"/>
      <c r="O151" s="156"/>
      <c r="P151" s="156"/>
      <c r="Q151" s="58"/>
      <c r="R151" s="58"/>
    </row>
    <row r="152" spans="1:19" s="41" customFormat="1" ht="11.45" customHeight="1">
      <c r="A152" s="130"/>
      <c r="B152" s="130" t="s">
        <v>128</v>
      </c>
      <c r="C152" s="130"/>
      <c r="D152" s="130"/>
      <c r="E152" s="130"/>
      <c r="F152" s="146">
        <v>10.5</v>
      </c>
      <c r="G152" s="145"/>
      <c r="H152" s="146">
        <v>2.2000000000000002</v>
      </c>
      <c r="I152" s="130"/>
      <c r="J152" s="146">
        <f>15.1+F152</f>
        <v>25.6</v>
      </c>
      <c r="K152" s="130"/>
      <c r="L152" s="146">
        <v>5.6</v>
      </c>
      <c r="M152" s="130"/>
      <c r="N152" s="146">
        <v>18.899999999999999</v>
      </c>
      <c r="O152" s="145"/>
      <c r="P152" s="145"/>
      <c r="Q152" s="58"/>
      <c r="R152" s="58"/>
    </row>
    <row r="153" spans="1:19" s="41" customFormat="1" ht="11.45" customHeight="1">
      <c r="A153" s="130"/>
      <c r="B153" s="448" t="s">
        <v>129</v>
      </c>
      <c r="C153" s="448"/>
      <c r="D153" s="448"/>
      <c r="E153" s="130"/>
      <c r="F153" s="146">
        <v>2.2000000000000002</v>
      </c>
      <c r="G153" s="145"/>
      <c r="H153" s="146">
        <v>0.4</v>
      </c>
      <c r="I153" s="130"/>
      <c r="J153" s="146">
        <f>6.3+F153</f>
        <v>8.5</v>
      </c>
      <c r="K153" s="130"/>
      <c r="L153" s="146">
        <v>14.4</v>
      </c>
      <c r="M153" s="130"/>
      <c r="N153" s="146">
        <v>20.100000000000001</v>
      </c>
      <c r="O153" s="145"/>
      <c r="P153" s="145"/>
      <c r="Q153" s="58"/>
      <c r="R153" s="58"/>
    </row>
    <row r="154" spans="1:19" s="41" customFormat="1" ht="11.45" customHeight="1">
      <c r="A154" s="130"/>
      <c r="B154" s="448" t="s">
        <v>130</v>
      </c>
      <c r="C154" s="448"/>
      <c r="D154" s="448"/>
      <c r="E154" s="130"/>
      <c r="F154" s="146">
        <v>1.9870000000000001</v>
      </c>
      <c r="G154" s="145"/>
      <c r="H154" s="146">
        <v>9</v>
      </c>
      <c r="I154" s="130"/>
      <c r="J154" s="146">
        <f>3.2+F154</f>
        <v>5.1870000000000003</v>
      </c>
      <c r="K154" s="130"/>
      <c r="L154" s="146">
        <v>11.2</v>
      </c>
      <c r="M154" s="130"/>
      <c r="N154" s="146">
        <v>12.8</v>
      </c>
      <c r="O154" s="145"/>
      <c r="P154" s="145"/>
      <c r="Q154" s="58"/>
      <c r="R154" s="58"/>
    </row>
    <row r="155" spans="1:19" s="41" customFormat="1" ht="11.45" customHeight="1">
      <c r="A155" s="130"/>
      <c r="B155" s="448" t="s">
        <v>131</v>
      </c>
      <c r="C155" s="448"/>
      <c r="D155" s="448"/>
      <c r="E155" s="130"/>
      <c r="F155" s="146">
        <v>0</v>
      </c>
      <c r="G155" s="145"/>
      <c r="H155" s="146">
        <v>6.8</v>
      </c>
      <c r="I155" s="130"/>
      <c r="J155" s="146">
        <f>89+F155</f>
        <v>89</v>
      </c>
      <c r="K155" s="130"/>
      <c r="L155" s="146">
        <v>146.9</v>
      </c>
      <c r="M155" s="130"/>
      <c r="N155" s="146">
        <v>154.4</v>
      </c>
      <c r="O155" s="145"/>
      <c r="P155" s="145"/>
      <c r="Q155" s="58"/>
      <c r="R155" s="58"/>
    </row>
    <row r="156" spans="1:19" s="41" customFormat="1" ht="11.45" customHeight="1">
      <c r="A156" s="131"/>
      <c r="B156" s="185" t="s">
        <v>132</v>
      </c>
      <c r="C156" s="185"/>
      <c r="D156" s="185"/>
      <c r="E156" s="131"/>
      <c r="F156" s="186">
        <v>1.9</v>
      </c>
      <c r="G156" s="146"/>
      <c r="H156" s="186">
        <v>0.6</v>
      </c>
      <c r="I156" s="129"/>
      <c r="J156" s="186">
        <f>0.9+F156</f>
        <v>2.8</v>
      </c>
      <c r="K156" s="129"/>
      <c r="L156" s="186">
        <v>1.8</v>
      </c>
      <c r="M156" s="129"/>
      <c r="N156" s="186">
        <v>2.4</v>
      </c>
      <c r="O156" s="145"/>
      <c r="P156" s="145"/>
    </row>
    <row r="157" spans="1:19" s="275" customFormat="1" ht="11.45" customHeight="1">
      <c r="A157" s="128"/>
      <c r="B157" s="128" t="s">
        <v>209</v>
      </c>
      <c r="C157" s="128"/>
      <c r="D157" s="128"/>
      <c r="E157" s="128"/>
      <c r="F157" s="144">
        <f>SUM(F152:F156)</f>
        <v>16.587</v>
      </c>
      <c r="G157" s="144"/>
      <c r="H157" s="144">
        <f>SUM(H152:H156)</f>
        <v>19</v>
      </c>
      <c r="I157" s="128"/>
      <c r="J157" s="144">
        <f>SUM(J152:J156)</f>
        <v>131.08700000000002</v>
      </c>
      <c r="K157" s="128"/>
      <c r="L157" s="144">
        <f>SUM(L152:L156)</f>
        <v>179.9</v>
      </c>
      <c r="M157" s="128"/>
      <c r="N157" s="144">
        <f>SUM(N152:N156)</f>
        <v>208.6</v>
      </c>
      <c r="O157" s="144"/>
      <c r="P157" s="144"/>
      <c r="Q157" s="57"/>
    </row>
    <row r="158" spans="1:19" s="275" customFormat="1" ht="11.45" customHeight="1">
      <c r="A158" s="128"/>
      <c r="B158" s="129" t="s">
        <v>248</v>
      </c>
      <c r="C158" s="128"/>
      <c r="D158" s="128"/>
      <c r="E158" s="128"/>
      <c r="F158" s="146">
        <v>0</v>
      </c>
      <c r="G158" s="144"/>
      <c r="H158" s="144">
        <v>0</v>
      </c>
      <c r="I158" s="128"/>
      <c r="J158" s="146">
        <f>5.272+F158</f>
        <v>5.2720000000000002</v>
      </c>
      <c r="K158" s="128"/>
      <c r="L158" s="144">
        <v>0</v>
      </c>
      <c r="M158" s="128"/>
      <c r="N158" s="144">
        <v>0</v>
      </c>
      <c r="O158" s="144"/>
      <c r="P158" s="144"/>
      <c r="Q158" s="57"/>
    </row>
    <row r="159" spans="1:19" s="41" customFormat="1" ht="11.45" customHeight="1">
      <c r="A159" s="130"/>
      <c r="B159" s="130" t="s">
        <v>257</v>
      </c>
      <c r="C159" s="449"/>
      <c r="D159" s="449"/>
      <c r="E159" s="130"/>
      <c r="F159" s="146">
        <v>-7.3</v>
      </c>
      <c r="G159" s="146"/>
      <c r="H159" s="146">
        <v>-8.1</v>
      </c>
      <c r="I159" s="129"/>
      <c r="J159" s="146">
        <f>4.903+F159</f>
        <v>-2.3970000000000002</v>
      </c>
      <c r="K159" s="129"/>
      <c r="L159" s="129">
        <v>12.4</v>
      </c>
      <c r="M159" s="129"/>
      <c r="N159" s="146">
        <v>9.6</v>
      </c>
      <c r="O159" s="145"/>
      <c r="P159" s="144"/>
      <c r="R159" s="39"/>
    </row>
    <row r="160" spans="1:19" s="41" customFormat="1" ht="11.45" customHeight="1">
      <c r="A160" s="387"/>
      <c r="B160" s="273" t="s">
        <v>206</v>
      </c>
      <c r="C160" s="450"/>
      <c r="D160" s="450"/>
      <c r="E160" s="387"/>
      <c r="F160" s="147">
        <f>SUM(F157:F159)</f>
        <v>9.286999999999999</v>
      </c>
      <c r="G160" s="146"/>
      <c r="H160" s="147">
        <f>SUM(H157:H159)</f>
        <v>10.9</v>
      </c>
      <c r="I160" s="129"/>
      <c r="J160" s="147">
        <f>SUM(J157:J159)</f>
        <v>133.96200000000002</v>
      </c>
      <c r="K160" s="129"/>
      <c r="L160" s="147">
        <f>SUM(L157:L159)</f>
        <v>192.3</v>
      </c>
      <c r="M160" s="129"/>
      <c r="N160" s="147">
        <f>SUM(N157:N159)</f>
        <v>218.2</v>
      </c>
      <c r="O160" s="145"/>
      <c r="P160" s="144"/>
      <c r="R160" s="39"/>
    </row>
    <row r="161" spans="1:19" s="41" customFormat="1" ht="11.45" customHeight="1">
      <c r="A161" s="130"/>
      <c r="B161" s="129"/>
      <c r="C161" s="129"/>
      <c r="D161" s="129"/>
      <c r="E161" s="130"/>
      <c r="F161" s="144"/>
      <c r="G161" s="145"/>
      <c r="H161" s="144"/>
      <c r="I161" s="130"/>
      <c r="J161" s="130"/>
      <c r="K161" s="130"/>
      <c r="L161" s="130"/>
      <c r="M161" s="130"/>
      <c r="N161" s="144"/>
      <c r="O161" s="145"/>
      <c r="P161" s="144"/>
      <c r="R161" s="39"/>
    </row>
    <row r="162" spans="1:19" s="41" customFormat="1" ht="15" customHeight="1">
      <c r="A162" s="383" t="s">
        <v>190</v>
      </c>
      <c r="B162" s="382"/>
      <c r="C162" s="382"/>
      <c r="D162" s="382"/>
      <c r="E162" s="207"/>
      <c r="F162" s="207" t="s">
        <v>0</v>
      </c>
      <c r="G162" s="207"/>
      <c r="H162" s="207" t="s">
        <v>0</v>
      </c>
      <c r="I162" s="207"/>
      <c r="J162" s="207"/>
      <c r="K162" s="207"/>
      <c r="L162" s="207"/>
      <c r="M162" s="207"/>
      <c r="N162" s="207" t="s">
        <v>0</v>
      </c>
      <c r="O162" s="207"/>
      <c r="P162" s="207"/>
      <c r="Q162" s="77"/>
      <c r="R162" s="77"/>
      <c r="S162" s="76"/>
    </row>
    <row r="163" spans="1:19" s="41" customFormat="1" ht="11.45" customHeight="1">
      <c r="A163" s="227"/>
      <c r="B163" s="130"/>
      <c r="C163" s="130"/>
      <c r="D163" s="130"/>
      <c r="E163" s="211"/>
      <c r="F163" s="232"/>
      <c r="G163" s="233"/>
      <c r="H163" s="232"/>
      <c r="I163" s="211"/>
      <c r="J163" s="211"/>
      <c r="K163" s="211"/>
      <c r="L163" s="211"/>
      <c r="M163" s="211"/>
      <c r="N163" s="232"/>
      <c r="O163" s="233"/>
      <c r="P163" s="232"/>
      <c r="R163" s="39"/>
    </row>
    <row r="164" spans="1:19" s="41" customFormat="1" ht="18" customHeight="1" thickBot="1">
      <c r="A164" s="209" t="s">
        <v>61</v>
      </c>
      <c r="B164" s="209"/>
      <c r="C164" s="209"/>
      <c r="D164" s="209"/>
      <c r="E164" s="209"/>
      <c r="F164" s="235"/>
      <c r="G164" s="235"/>
      <c r="H164" s="235"/>
      <c r="I164" s="235"/>
      <c r="J164" s="235"/>
      <c r="K164" s="235"/>
      <c r="L164" s="235"/>
      <c r="M164" s="235"/>
      <c r="N164" s="209"/>
      <c r="O164" s="229"/>
      <c r="P164" s="130"/>
    </row>
    <row r="165" spans="1:19" s="74" customFormat="1" ht="15.75" customHeight="1">
      <c r="A165" s="210"/>
      <c r="B165" s="210"/>
      <c r="C165" s="210"/>
      <c r="D165" s="210"/>
      <c r="E165" s="210"/>
      <c r="F165" s="553" t="s">
        <v>249</v>
      </c>
      <c r="G165" s="553"/>
      <c r="H165" s="553"/>
      <c r="J165" s="481" t="s">
        <v>1</v>
      </c>
      <c r="K165" s="390"/>
      <c r="L165" s="210"/>
    </row>
    <row r="166" spans="1:19" s="41" customFormat="1" ht="16.5" customHeight="1">
      <c r="A166" s="133" t="s">
        <v>99</v>
      </c>
      <c r="B166" s="131"/>
      <c r="C166" s="131"/>
      <c r="D166" s="131"/>
      <c r="E166" s="130"/>
      <c r="F166" s="268">
        <v>2017</v>
      </c>
      <c r="G166" s="129"/>
      <c r="H166" s="268">
        <v>2016</v>
      </c>
      <c r="I166" s="408"/>
      <c r="J166" s="375">
        <v>2016</v>
      </c>
      <c r="K166" s="58"/>
      <c r="L166" s="395"/>
      <c r="M166" s="58"/>
      <c r="N166" s="51"/>
      <c r="O166" s="52"/>
      <c r="P166" s="58"/>
    </row>
    <row r="167" spans="1:19" s="41" customFormat="1" ht="15" customHeight="1">
      <c r="A167" s="130"/>
      <c r="B167" s="130" t="s">
        <v>60</v>
      </c>
      <c r="C167" s="130"/>
      <c r="D167" s="130"/>
      <c r="E167" s="130"/>
      <c r="F167" s="145"/>
      <c r="G167" s="145"/>
      <c r="H167" s="145">
        <v>2.7</v>
      </c>
      <c r="I167" s="58"/>
      <c r="J167" s="145">
        <v>0</v>
      </c>
      <c r="K167" s="229"/>
      <c r="L167" s="222"/>
      <c r="M167" s="229"/>
      <c r="N167" s="378"/>
      <c r="O167" s="51"/>
      <c r="P167" s="58"/>
    </row>
    <row r="168" spans="1:19" s="41" customFormat="1" ht="11.45" customHeight="1">
      <c r="A168" s="130"/>
      <c r="B168" s="130" t="s">
        <v>84</v>
      </c>
      <c r="C168" s="130"/>
      <c r="D168" s="130"/>
      <c r="E168" s="130"/>
      <c r="F168" s="145">
        <v>2.2999999999999998</v>
      </c>
      <c r="G168" s="145"/>
      <c r="H168" s="145">
        <v>11.9</v>
      </c>
      <c r="I168" s="58"/>
      <c r="J168" s="145">
        <v>9.3000000000000007</v>
      </c>
      <c r="K168" s="229"/>
      <c r="L168" s="222"/>
      <c r="M168" s="229"/>
      <c r="N168" s="378"/>
      <c r="O168" s="51"/>
      <c r="P168" s="58"/>
    </row>
    <row r="169" spans="1:19" s="41" customFormat="1" ht="11.45" customHeight="1">
      <c r="A169" s="130"/>
      <c r="B169" s="130" t="s">
        <v>98</v>
      </c>
      <c r="C169" s="130"/>
      <c r="D169" s="130"/>
      <c r="E169" s="130"/>
      <c r="F169" s="145">
        <v>10.4</v>
      </c>
      <c r="G169" s="145"/>
      <c r="H169" s="145">
        <v>19.5</v>
      </c>
      <c r="I169" s="58"/>
      <c r="J169" s="145">
        <v>16.600000000000001</v>
      </c>
      <c r="K169" s="229"/>
      <c r="L169" s="222"/>
      <c r="M169" s="229"/>
      <c r="N169" s="378"/>
      <c r="O169" s="51"/>
      <c r="P169" s="58"/>
    </row>
    <row r="170" spans="1:19" s="41" customFormat="1" ht="11.45" customHeight="1">
      <c r="A170" s="130"/>
      <c r="B170" s="130" t="s">
        <v>181</v>
      </c>
      <c r="C170" s="130"/>
      <c r="D170" s="130"/>
      <c r="E170" s="130"/>
      <c r="F170" s="145">
        <v>42.6</v>
      </c>
      <c r="G170" s="145"/>
      <c r="H170" s="145">
        <v>68.5</v>
      </c>
      <c r="I170" s="58"/>
      <c r="J170" s="145">
        <v>61.2</v>
      </c>
      <c r="K170" s="229"/>
      <c r="L170" s="222"/>
      <c r="M170" s="229"/>
      <c r="N170" s="378"/>
      <c r="O170" s="51"/>
      <c r="P170" s="58"/>
    </row>
    <row r="171" spans="1:19" s="41" customFormat="1" ht="11.45" customHeight="1">
      <c r="A171" s="129"/>
      <c r="B171" s="129" t="s">
        <v>164</v>
      </c>
      <c r="C171" s="129"/>
      <c r="D171" s="129"/>
      <c r="E171" s="130"/>
      <c r="F171" s="145">
        <v>84</v>
      </c>
      <c r="G171" s="145"/>
      <c r="H171" s="145">
        <v>131.4</v>
      </c>
      <c r="I171" s="58"/>
      <c r="J171" s="145">
        <v>117.1</v>
      </c>
      <c r="K171" s="229"/>
      <c r="L171" s="222"/>
      <c r="M171" s="229"/>
      <c r="N171" s="378"/>
      <c r="O171" s="51"/>
      <c r="P171" s="58"/>
    </row>
    <row r="172" spans="1:19" s="41" customFormat="1" ht="11.45" customHeight="1">
      <c r="A172" s="129"/>
      <c r="B172" s="129" t="s">
        <v>185</v>
      </c>
      <c r="C172" s="129"/>
      <c r="D172" s="129"/>
      <c r="E172" s="130"/>
      <c r="F172" s="145">
        <v>206.4</v>
      </c>
      <c r="G172" s="145"/>
      <c r="H172" s="146">
        <v>224.6</v>
      </c>
      <c r="I172" s="58"/>
      <c r="J172" s="145">
        <v>303.39999999999998</v>
      </c>
      <c r="K172" s="229"/>
      <c r="L172" s="222"/>
      <c r="M172" s="229"/>
      <c r="N172" s="378"/>
      <c r="O172" s="51"/>
      <c r="P172" s="58"/>
    </row>
    <row r="173" spans="1:19" s="41" customFormat="1" ht="11.45" customHeight="1">
      <c r="A173" s="131"/>
      <c r="B173" s="131" t="s">
        <v>240</v>
      </c>
      <c r="C173" s="131"/>
      <c r="D173" s="131"/>
      <c r="E173" s="130"/>
      <c r="F173" s="186">
        <v>42.7</v>
      </c>
      <c r="G173" s="145"/>
      <c r="H173" s="186">
        <v>0</v>
      </c>
      <c r="I173" s="58"/>
      <c r="J173" s="186">
        <v>0</v>
      </c>
      <c r="K173" s="229"/>
      <c r="L173" s="222"/>
      <c r="M173" s="229"/>
      <c r="N173" s="378"/>
      <c r="O173" s="51"/>
      <c r="P173" s="58"/>
    </row>
    <row r="174" spans="1:19" s="41" customFormat="1" ht="14.25" customHeight="1">
      <c r="A174" s="130"/>
      <c r="B174" s="130" t="s">
        <v>59</v>
      </c>
      <c r="C174" s="130"/>
      <c r="D174" s="130"/>
      <c r="E174" s="130"/>
      <c r="F174" s="145">
        <f>SUM(F167:F173)+0.1</f>
        <v>388.50000000000006</v>
      </c>
      <c r="G174" s="145"/>
      <c r="H174" s="145">
        <f>SUM(H167:H173)-0.1</f>
        <v>458.5</v>
      </c>
      <c r="I174" s="58"/>
      <c r="J174" s="145">
        <f>SUM(J167:J173)</f>
        <v>507.59999999999997</v>
      </c>
      <c r="K174" s="229"/>
      <c r="L174" s="222"/>
      <c r="M174" s="229"/>
      <c r="N174" s="378"/>
      <c r="O174" s="51"/>
      <c r="P174" s="58"/>
    </row>
    <row r="175" spans="1:19" s="41" customFormat="1" ht="11.45" customHeight="1">
      <c r="A175" s="130"/>
      <c r="B175" s="130" t="s">
        <v>58</v>
      </c>
      <c r="C175" s="130"/>
      <c r="D175" s="130"/>
      <c r="E175" s="130"/>
      <c r="F175" s="145">
        <v>177.6</v>
      </c>
      <c r="G175" s="145"/>
      <c r="H175" s="145">
        <v>223.6</v>
      </c>
      <c r="I175" s="58"/>
      <c r="J175" s="186">
        <v>140.1</v>
      </c>
      <c r="K175" s="229"/>
      <c r="L175" s="222"/>
      <c r="M175" s="229"/>
      <c r="N175" s="378"/>
      <c r="O175" s="51"/>
      <c r="P175" s="58"/>
    </row>
    <row r="176" spans="1:19" s="275" customFormat="1" ht="15" customHeight="1">
      <c r="A176" s="132"/>
      <c r="B176" s="132" t="s">
        <v>57</v>
      </c>
      <c r="C176" s="132"/>
      <c r="D176" s="132"/>
      <c r="E176" s="274"/>
      <c r="F176" s="147">
        <f>SUM(F174:F175)</f>
        <v>566.1</v>
      </c>
      <c r="G176" s="143"/>
      <c r="H176" s="147">
        <f>SUM(H174:H175)</f>
        <v>682.1</v>
      </c>
      <c r="I176" s="391"/>
      <c r="J176" s="147">
        <f>SUM(J174:J175)</f>
        <v>647.69999999999993</v>
      </c>
      <c r="K176" s="238"/>
      <c r="L176" s="250"/>
      <c r="M176" s="238"/>
      <c r="N176" s="402"/>
      <c r="O176" s="69"/>
      <c r="P176" s="391"/>
    </row>
    <row r="177" spans="1:19" s="41" customFormat="1" ht="11.45" customHeight="1">
      <c r="A177" s="129"/>
      <c r="B177" s="236" t="s">
        <v>0</v>
      </c>
      <c r="C177" s="129"/>
      <c r="D177" s="129"/>
      <c r="E177" s="130"/>
      <c r="F177" s="224"/>
      <c r="G177" s="223"/>
      <c r="H177" s="224"/>
      <c r="I177" s="130"/>
      <c r="J177" s="224"/>
      <c r="K177" s="223"/>
      <c r="L177" s="224"/>
      <c r="M177" s="224"/>
      <c r="N177" s="222"/>
      <c r="O177" s="222"/>
      <c r="P177" s="222"/>
    </row>
    <row r="178" spans="1:19" s="41" customFormat="1" ht="11.45" customHeight="1">
      <c r="A178" s="130"/>
      <c r="B178" s="392"/>
      <c r="C178" s="392"/>
      <c r="D178" s="392"/>
      <c r="E178" s="130"/>
      <c r="F178" s="223"/>
      <c r="G178" s="223"/>
      <c r="H178" s="223"/>
      <c r="I178" s="130"/>
      <c r="J178" s="223"/>
      <c r="K178" s="223"/>
      <c r="L178" s="223"/>
      <c r="M178" s="229"/>
      <c r="N178" s="223"/>
      <c r="O178" s="223"/>
      <c r="P178" s="223"/>
    </row>
    <row r="179" spans="1:19" s="41" customFormat="1" ht="11.45" customHeight="1" thickBot="1">
      <c r="A179" s="237" t="s">
        <v>86</v>
      </c>
      <c r="B179" s="209"/>
      <c r="C179" s="209"/>
      <c r="D179" s="209"/>
      <c r="E179" s="209"/>
      <c r="F179" s="235"/>
      <c r="G179" s="235"/>
      <c r="H179" s="235"/>
      <c r="I179" s="209"/>
      <c r="J179" s="235"/>
      <c r="K179" s="235"/>
      <c r="L179" s="235"/>
      <c r="M179" s="235"/>
      <c r="N179" s="223"/>
      <c r="O179" s="223"/>
      <c r="P179" s="229"/>
    </row>
    <row r="180" spans="1:19" s="74" customFormat="1" ht="11.45" customHeight="1">
      <c r="A180" s="210"/>
      <c r="B180" s="210"/>
      <c r="C180" s="210"/>
      <c r="D180" s="210"/>
      <c r="E180" s="210"/>
      <c r="F180" s="550" t="s">
        <v>5</v>
      </c>
      <c r="G180" s="550"/>
      <c r="H180" s="550"/>
      <c r="I180" s="210"/>
      <c r="J180" s="134"/>
      <c r="K180" s="134" t="s">
        <v>254</v>
      </c>
      <c r="L180" s="46"/>
      <c r="N180" s="515" t="s">
        <v>20</v>
      </c>
      <c r="P180" s="390"/>
    </row>
    <row r="181" spans="1:19" s="74" customFormat="1" ht="11.45" customHeight="1">
      <c r="A181" s="210"/>
      <c r="B181" s="210"/>
      <c r="C181" s="210"/>
      <c r="D181" s="210"/>
      <c r="E181" s="210"/>
      <c r="F181" s="549" t="s">
        <v>249</v>
      </c>
      <c r="G181" s="549"/>
      <c r="H181" s="549"/>
      <c r="I181" s="210"/>
      <c r="J181" s="134"/>
      <c r="K181" s="494" t="s">
        <v>249</v>
      </c>
      <c r="L181" s="500"/>
      <c r="N181" s="516" t="s">
        <v>1</v>
      </c>
      <c r="P181" s="390"/>
    </row>
    <row r="182" spans="1:19" s="41" customFormat="1" ht="15.75" customHeight="1">
      <c r="A182" s="133" t="s">
        <v>99</v>
      </c>
      <c r="B182" s="131"/>
      <c r="C182" s="131"/>
      <c r="D182" s="131"/>
      <c r="E182" s="130"/>
      <c r="F182" s="268">
        <v>2017</v>
      </c>
      <c r="G182" s="214"/>
      <c r="H182" s="215">
        <f>+$N$29</f>
        <v>2016</v>
      </c>
      <c r="I182" s="130"/>
      <c r="J182" s="375">
        <v>2017</v>
      </c>
      <c r="K182" s="130"/>
      <c r="L182" s="215">
        <v>2016</v>
      </c>
      <c r="N182" s="498">
        <f>+$N$29</f>
        <v>2016</v>
      </c>
      <c r="P182" s="499"/>
      <c r="Q182" s="58"/>
    </row>
    <row r="183" spans="1:19" s="41" customFormat="1" ht="11.45" customHeight="1">
      <c r="A183" s="128"/>
      <c r="B183" s="129"/>
      <c r="C183" s="129"/>
      <c r="D183" s="129"/>
      <c r="E183" s="130"/>
      <c r="F183" s="156" t="s">
        <v>0</v>
      </c>
      <c r="G183" s="156"/>
      <c r="H183" s="156"/>
      <c r="I183" s="130"/>
      <c r="J183" s="130"/>
      <c r="K183" s="130"/>
      <c r="N183" s="156"/>
      <c r="P183" s="156"/>
      <c r="Q183" s="58"/>
    </row>
    <row r="184" spans="1:19" s="41" customFormat="1" ht="11.45" customHeight="1">
      <c r="A184" s="130"/>
      <c r="B184" s="130" t="s">
        <v>104</v>
      </c>
      <c r="C184" s="130"/>
      <c r="D184" s="130"/>
      <c r="E184" s="130"/>
      <c r="F184" s="145">
        <f>F32</f>
        <v>101.785</v>
      </c>
      <c r="G184" s="145"/>
      <c r="H184" s="145">
        <f>H32</f>
        <v>84.3</v>
      </c>
      <c r="I184" s="130"/>
      <c r="J184" s="511">
        <f>+J32</f>
        <v>191.685</v>
      </c>
      <c r="K184" s="130"/>
      <c r="L184" s="145">
        <f>+L32</f>
        <v>191.4</v>
      </c>
      <c r="N184" s="217">
        <f>N32</f>
        <v>242.3</v>
      </c>
      <c r="P184" s="217"/>
      <c r="Q184" s="58"/>
    </row>
    <row r="185" spans="1:19" s="41" customFormat="1" ht="11.45" customHeight="1">
      <c r="A185" s="130"/>
      <c r="B185" s="130" t="s">
        <v>56</v>
      </c>
      <c r="C185" s="130"/>
      <c r="D185" s="130"/>
      <c r="E185" s="130"/>
      <c r="F185" s="145">
        <f>F33</f>
        <v>47.768000000000001</v>
      </c>
      <c r="G185" s="145"/>
      <c r="H185" s="145">
        <f>H33</f>
        <v>63.2</v>
      </c>
      <c r="I185" s="130"/>
      <c r="J185" s="511">
        <f>+J33</f>
        <v>164.46800000000002</v>
      </c>
      <c r="K185" s="130"/>
      <c r="L185" s="145">
        <f>+L33</f>
        <v>174.4</v>
      </c>
      <c r="N185" s="217">
        <f>N33</f>
        <v>226.8</v>
      </c>
      <c r="P185" s="217"/>
      <c r="Q185" s="58"/>
    </row>
    <row r="186" spans="1:19" s="41" customFormat="1" ht="11.45" customHeight="1">
      <c r="A186" s="130"/>
      <c r="B186" s="130" t="s">
        <v>133</v>
      </c>
      <c r="C186" s="130"/>
      <c r="D186" s="130"/>
      <c r="E186" s="130"/>
      <c r="F186" s="145">
        <f>-CF!E20</f>
        <v>82</v>
      </c>
      <c r="G186" s="145"/>
      <c r="H186" s="145">
        <v>63</v>
      </c>
      <c r="I186" s="130"/>
      <c r="J186" s="130">
        <f>-CF!I20</f>
        <v>159.4</v>
      </c>
      <c r="K186" s="130"/>
      <c r="L186" s="145">
        <v>153.1</v>
      </c>
      <c r="N186" s="217">
        <f>-CF!M20</f>
        <v>201</v>
      </c>
      <c r="P186" s="217"/>
      <c r="Q186" s="58"/>
    </row>
    <row r="187" spans="1:19" s="41" customFormat="1" ht="11.45" customHeight="1">
      <c r="A187" s="130"/>
      <c r="B187" s="130" t="s">
        <v>149</v>
      </c>
      <c r="C187" s="130"/>
      <c r="D187" s="130"/>
      <c r="E187" s="130"/>
      <c r="F187" s="239">
        <f>-(Notes!F32/CF!E20)</f>
        <v>1.241280487804878</v>
      </c>
      <c r="G187" s="239"/>
      <c r="H187" s="239">
        <f>H184/H186</f>
        <v>1.338095238095238</v>
      </c>
      <c r="I187" s="130"/>
      <c r="J187" s="239">
        <f>J184/J186</f>
        <v>1.2025407779171895</v>
      </c>
      <c r="K187" s="130"/>
      <c r="L187" s="239">
        <f>L184/L186</f>
        <v>1.2501632919660353</v>
      </c>
      <c r="N187" s="429">
        <f>N184/N186</f>
        <v>1.2054726368159205</v>
      </c>
      <c r="P187" s="429"/>
      <c r="Q187" s="58"/>
    </row>
    <row r="188" spans="1:19" s="41" customFormat="1" ht="11.45" customHeight="1">
      <c r="A188" s="130"/>
      <c r="B188" s="130" t="s">
        <v>134</v>
      </c>
      <c r="C188" s="130"/>
      <c r="D188" s="130"/>
      <c r="E188" s="130"/>
      <c r="F188" s="145">
        <f>F115</f>
        <v>1.2530000000000001</v>
      </c>
      <c r="G188" s="145"/>
      <c r="H188" s="145">
        <f>H115</f>
        <v>1.8</v>
      </c>
      <c r="I188" s="145"/>
      <c r="J188" s="145">
        <f>+J115</f>
        <v>3.5910000000000002</v>
      </c>
      <c r="K188" s="145"/>
      <c r="L188" s="145">
        <f>+L115</f>
        <v>10.6</v>
      </c>
      <c r="N188" s="217">
        <f>N115</f>
        <v>12.6</v>
      </c>
      <c r="P188" s="217"/>
      <c r="Q188" s="58"/>
    </row>
    <row r="189" spans="1:19" s="41" customFormat="1" ht="11.45" customHeight="1">
      <c r="A189" s="129"/>
      <c r="B189" s="129" t="s">
        <v>118</v>
      </c>
      <c r="C189" s="129"/>
      <c r="D189" s="129"/>
      <c r="E189" s="129"/>
      <c r="F189" s="146">
        <f>+F81+0.2</f>
        <v>29.795999999999999</v>
      </c>
      <c r="G189" s="242"/>
      <c r="H189" s="146">
        <v>25.7</v>
      </c>
      <c r="I189" s="400"/>
      <c r="J189" s="145">
        <f>+J81</f>
        <v>55.396000000000001</v>
      </c>
      <c r="K189" s="400"/>
      <c r="L189" s="145">
        <v>48.7</v>
      </c>
      <c r="N189" s="422">
        <v>62.1</v>
      </c>
      <c r="P189" s="422"/>
      <c r="Q189" s="58"/>
      <c r="R189" s="58"/>
      <c r="S189" s="58"/>
    </row>
    <row r="190" spans="1:19" s="41" customFormat="1" ht="11.45" customHeight="1">
      <c r="A190" s="129"/>
      <c r="B190" s="129" t="s">
        <v>135</v>
      </c>
      <c r="C190" s="129"/>
      <c r="D190" s="129"/>
      <c r="E190" s="129"/>
      <c r="F190" s="146">
        <f>F70</f>
        <v>-111.90300000000001</v>
      </c>
      <c r="G190" s="146"/>
      <c r="H190" s="146">
        <v>-86.2</v>
      </c>
      <c r="I190" s="129"/>
      <c r="J190" s="502">
        <f>+J70</f>
        <v>-259.00299999999999</v>
      </c>
      <c r="K190" s="129"/>
      <c r="L190" s="145">
        <v>-202.6</v>
      </c>
      <c r="N190" s="422">
        <f>N70</f>
        <v>-279.2</v>
      </c>
      <c r="P190" s="422"/>
      <c r="Q190" s="58"/>
    </row>
    <row r="191" spans="1:19" s="41" customFormat="1" ht="11.45" customHeight="1">
      <c r="A191" s="129"/>
      <c r="B191" s="129" t="s">
        <v>246</v>
      </c>
      <c r="C191" s="129"/>
      <c r="D191" s="129"/>
      <c r="E191" s="129"/>
      <c r="F191" s="146">
        <f>F71</f>
        <v>0</v>
      </c>
      <c r="G191" s="146"/>
      <c r="H191" s="146">
        <v>0</v>
      </c>
      <c r="I191" s="129"/>
      <c r="J191" s="502">
        <f>+J71</f>
        <v>-0.4</v>
      </c>
      <c r="K191" s="129"/>
      <c r="L191" s="145">
        <v>-14.6</v>
      </c>
      <c r="N191" s="422">
        <f>N71</f>
        <v>-14.6</v>
      </c>
      <c r="P191" s="217"/>
      <c r="Q191" s="58"/>
    </row>
    <row r="192" spans="1:19" s="41" customFormat="1" ht="11.45" customHeight="1">
      <c r="A192" s="131"/>
      <c r="B192" s="131" t="s">
        <v>210</v>
      </c>
      <c r="C192" s="131"/>
      <c r="D192" s="131"/>
      <c r="E192" s="130"/>
      <c r="F192" s="186">
        <f>F72</f>
        <v>-41.735871000000003</v>
      </c>
      <c r="G192" s="145"/>
      <c r="H192" s="186">
        <v>-9.1999999999999993</v>
      </c>
      <c r="I192" s="130"/>
      <c r="J192" s="504">
        <f>+J72</f>
        <v>-45.235871000000003</v>
      </c>
      <c r="K192" s="130"/>
      <c r="L192" s="186">
        <v>-9.1999999999999993</v>
      </c>
      <c r="N192" s="219">
        <f>N72</f>
        <v>-30.1</v>
      </c>
      <c r="P192" s="217"/>
      <c r="Q192" s="58"/>
    </row>
    <row r="193" spans="1:19" s="41" customFormat="1" ht="11.45" customHeight="1">
      <c r="A193" s="129"/>
      <c r="B193" s="129"/>
      <c r="C193" s="129"/>
      <c r="D193" s="129"/>
      <c r="E193" s="129"/>
      <c r="F193" s="238"/>
      <c r="G193" s="238"/>
      <c r="H193" s="238"/>
      <c r="I193" s="129"/>
      <c r="J193" s="129"/>
      <c r="K193" s="129"/>
      <c r="L193" s="129"/>
      <c r="M193" s="129"/>
      <c r="N193" s="238"/>
      <c r="O193" s="238"/>
      <c r="P193" s="238"/>
      <c r="Q193" s="58"/>
      <c r="R193" s="58"/>
    </row>
    <row r="194" spans="1:19" s="41" customFormat="1" ht="11.45" customHeight="1">
      <c r="A194" s="240"/>
      <c r="B194" s="241"/>
      <c r="C194" s="241"/>
      <c r="D194" s="241"/>
      <c r="E194" s="241"/>
      <c r="F194" s="229"/>
      <c r="G194" s="229"/>
      <c r="H194" s="229"/>
      <c r="I194" s="241"/>
      <c r="J194" s="241"/>
      <c r="K194" s="241"/>
      <c r="L194" s="241"/>
      <c r="M194" s="241"/>
      <c r="N194" s="229"/>
      <c r="O194" s="229"/>
      <c r="P194" s="229"/>
      <c r="Q194" s="58"/>
      <c r="R194" s="58"/>
    </row>
    <row r="195" spans="1:19" s="41" customFormat="1" ht="15" customHeight="1">
      <c r="A195" s="383" t="s">
        <v>191</v>
      </c>
      <c r="B195" s="382"/>
      <c r="C195" s="382"/>
      <c r="D195" s="382"/>
      <c r="E195" s="207"/>
      <c r="F195" s="207" t="s">
        <v>0</v>
      </c>
      <c r="G195" s="207"/>
      <c r="H195" s="207" t="s">
        <v>0</v>
      </c>
      <c r="I195" s="207"/>
      <c r="J195" s="207"/>
      <c r="K195" s="207"/>
      <c r="L195" s="207"/>
      <c r="M195" s="207"/>
      <c r="N195" s="207" t="s">
        <v>0</v>
      </c>
      <c r="O195" s="207"/>
      <c r="P195" s="207"/>
      <c r="Q195" s="399"/>
      <c r="R195" s="399"/>
      <c r="S195" s="76"/>
    </row>
    <row r="196" spans="1:19" s="41" customFormat="1" ht="11.45" customHeight="1">
      <c r="A196" s="393" t="s">
        <v>0</v>
      </c>
      <c r="B196" s="130"/>
      <c r="C196" s="130"/>
      <c r="D196" s="130"/>
      <c r="E196" s="130"/>
      <c r="F196" s="269"/>
      <c r="G196" s="223"/>
      <c r="H196" s="223"/>
      <c r="I196" s="130"/>
      <c r="J196" s="130"/>
      <c r="K196" s="130"/>
      <c r="L196" s="130"/>
      <c r="M196" s="130"/>
      <c r="N196" s="229"/>
      <c r="O196" s="223"/>
      <c r="P196" s="229"/>
      <c r="Q196" s="58"/>
      <c r="R196" s="58"/>
    </row>
    <row r="197" spans="1:19" s="41" customFormat="1" ht="11.45" customHeight="1" thickBot="1">
      <c r="A197" s="209" t="s">
        <v>143</v>
      </c>
      <c r="B197" s="209"/>
      <c r="C197" s="209"/>
      <c r="D197" s="209"/>
      <c r="E197" s="209"/>
      <c r="F197" s="235"/>
      <c r="G197" s="235"/>
      <c r="H197" s="235"/>
      <c r="I197" s="235"/>
      <c r="J197" s="235"/>
      <c r="K197" s="235"/>
      <c r="L197" s="235"/>
      <c r="M197" s="235"/>
      <c r="N197" s="235"/>
      <c r="O197" s="229"/>
      <c r="P197" s="229"/>
      <c r="Q197" s="58"/>
      <c r="R197" s="58"/>
    </row>
    <row r="198" spans="1:19" s="74" customFormat="1" ht="15" customHeight="1">
      <c r="A198" s="210"/>
      <c r="B198" s="210"/>
      <c r="C198" s="210"/>
      <c r="D198" s="210"/>
      <c r="E198" s="210"/>
      <c r="F198" s="553" t="s">
        <v>249</v>
      </c>
      <c r="G198" s="553"/>
      <c r="H198" s="553"/>
      <c r="I198" s="384"/>
      <c r="J198" s="488" t="s">
        <v>1</v>
      </c>
      <c r="K198" s="390"/>
      <c r="L198" s="210"/>
    </row>
    <row r="199" spans="1:19" s="41" customFormat="1" ht="15" customHeight="1">
      <c r="A199" s="133" t="s">
        <v>99</v>
      </c>
      <c r="B199" s="131"/>
      <c r="C199" s="131"/>
      <c r="D199" s="131"/>
      <c r="E199" s="130"/>
      <c r="F199" s="268">
        <v>2017</v>
      </c>
      <c r="G199" s="214"/>
      <c r="H199" s="215">
        <v>2016</v>
      </c>
      <c r="I199" s="394"/>
      <c r="J199" s="375">
        <v>2016</v>
      </c>
      <c r="K199" s="99"/>
      <c r="L199" s="401"/>
      <c r="M199" s="52"/>
      <c r="N199" s="58"/>
      <c r="O199" s="58"/>
      <c r="P199" s="58"/>
    </row>
    <row r="200" spans="1:19" ht="11.45" customHeight="1">
      <c r="A200" s="130"/>
      <c r="B200" s="189" t="s">
        <v>136</v>
      </c>
      <c r="C200" s="248"/>
      <c r="D200" s="248"/>
      <c r="E200" s="130"/>
      <c r="F200" s="145" t="s">
        <v>0</v>
      </c>
      <c r="G200" s="223"/>
      <c r="H200" s="145"/>
      <c r="I200" s="130"/>
      <c r="J200" s="223"/>
      <c r="K200" s="223"/>
      <c r="L200" s="230"/>
      <c r="M200" s="229"/>
      <c r="N200" s="229"/>
      <c r="O200" s="127"/>
      <c r="P200" s="48"/>
    </row>
    <row r="201" spans="1:19" ht="11.45" customHeight="1">
      <c r="A201" s="130"/>
      <c r="B201" s="183" t="s">
        <v>193</v>
      </c>
      <c r="C201" s="248"/>
      <c r="D201" s="248"/>
      <c r="E201" s="130"/>
      <c r="F201" s="145">
        <v>386</v>
      </c>
      <c r="G201" s="223"/>
      <c r="H201" s="145">
        <v>390</v>
      </c>
      <c r="I201" s="130"/>
      <c r="J201" s="145">
        <v>389</v>
      </c>
      <c r="K201" s="223"/>
      <c r="L201" s="230"/>
      <c r="M201" s="229"/>
      <c r="N201" s="229"/>
      <c r="O201" s="127"/>
      <c r="P201" s="48"/>
    </row>
    <row r="202" spans="1:19" ht="11.45" customHeight="1">
      <c r="A202" s="130"/>
      <c r="B202" s="183" t="s">
        <v>137</v>
      </c>
      <c r="C202" s="248"/>
      <c r="D202" s="248"/>
      <c r="E202" s="130"/>
      <c r="F202" s="145">
        <v>166.6</v>
      </c>
      <c r="G202" s="223"/>
      <c r="H202" s="145">
        <v>187.5</v>
      </c>
      <c r="I202" s="130"/>
      <c r="J202" s="145">
        <v>182.3</v>
      </c>
      <c r="K202" s="223"/>
      <c r="L202" s="230"/>
      <c r="M202" s="229"/>
      <c r="N202" s="229"/>
      <c r="O202" s="127"/>
      <c r="P202" s="48"/>
    </row>
    <row r="203" spans="1:19" ht="11.45" customHeight="1">
      <c r="A203" s="130"/>
      <c r="B203" s="183" t="s">
        <v>138</v>
      </c>
      <c r="C203" s="248"/>
      <c r="D203" s="248"/>
      <c r="E203" s="130"/>
      <c r="F203" s="145">
        <v>261.5</v>
      </c>
      <c r="G203" s="223"/>
      <c r="H203" s="145">
        <v>198.6</v>
      </c>
      <c r="I203" s="130"/>
      <c r="J203" s="145">
        <v>192.1</v>
      </c>
      <c r="K203" s="223"/>
      <c r="L203" s="230"/>
      <c r="M203" s="229"/>
      <c r="N203" s="229"/>
      <c r="O203" s="127"/>
      <c r="P203" s="48"/>
    </row>
    <row r="204" spans="1:19" ht="11.45" customHeight="1">
      <c r="A204" s="130"/>
      <c r="B204" s="183" t="s">
        <v>245</v>
      </c>
      <c r="C204" s="248"/>
      <c r="D204" s="248"/>
      <c r="E204" s="130"/>
      <c r="F204" s="145">
        <v>200</v>
      </c>
      <c r="G204" s="223"/>
      <c r="H204" s="145">
        <v>160</v>
      </c>
      <c r="I204" s="130"/>
      <c r="J204" s="145">
        <v>190</v>
      </c>
      <c r="K204" s="223"/>
      <c r="L204" s="230"/>
      <c r="M204" s="229"/>
      <c r="N204" s="229"/>
      <c r="O204" s="127"/>
      <c r="P204" s="48"/>
    </row>
    <row r="205" spans="1:19" ht="11.45" customHeight="1">
      <c r="A205" s="130"/>
      <c r="B205" s="189" t="s">
        <v>139</v>
      </c>
      <c r="C205" s="248"/>
      <c r="D205" s="248"/>
      <c r="E205" s="130"/>
      <c r="F205" s="145"/>
      <c r="G205" s="223"/>
      <c r="H205" s="145"/>
      <c r="I205" s="130"/>
      <c r="J205" s="145"/>
      <c r="K205" s="223"/>
      <c r="L205" s="230"/>
      <c r="M205" s="229"/>
      <c r="N205" s="229"/>
      <c r="O205" s="127"/>
      <c r="P205" s="48"/>
    </row>
    <row r="206" spans="1:19" ht="11.45" customHeight="1">
      <c r="A206" s="130"/>
      <c r="B206" s="183" t="s">
        <v>140</v>
      </c>
      <c r="C206" s="248"/>
      <c r="D206" s="248"/>
      <c r="E206" s="130"/>
      <c r="F206" s="145">
        <v>26</v>
      </c>
      <c r="G206" s="223"/>
      <c r="H206" s="145">
        <v>450</v>
      </c>
      <c r="I206" s="130"/>
      <c r="J206" s="145">
        <v>26</v>
      </c>
      <c r="K206" s="223"/>
      <c r="L206" s="230"/>
      <c r="M206" s="229"/>
      <c r="N206" s="229"/>
      <c r="O206" s="127"/>
      <c r="P206" s="48"/>
    </row>
    <row r="207" spans="1:19" ht="11.45" customHeight="1">
      <c r="A207" s="130"/>
      <c r="B207" s="183" t="s">
        <v>219</v>
      </c>
      <c r="C207" s="248"/>
      <c r="D207" s="248"/>
      <c r="E207" s="130"/>
      <c r="F207" s="145">
        <v>212</v>
      </c>
      <c r="G207" s="223"/>
      <c r="H207" s="145">
        <v>0</v>
      </c>
      <c r="I207" s="130"/>
      <c r="J207" s="145">
        <v>212</v>
      </c>
      <c r="K207" s="223"/>
      <c r="L207" s="230"/>
      <c r="M207" s="229"/>
      <c r="N207" s="229"/>
      <c r="O207" s="127"/>
      <c r="P207" s="48"/>
    </row>
    <row r="208" spans="1:19" s="41" customFormat="1" ht="13.5" customHeight="1">
      <c r="A208" s="387"/>
      <c r="B208" s="132" t="s">
        <v>247</v>
      </c>
      <c r="C208" s="387"/>
      <c r="D208" s="387"/>
      <c r="E208" s="130"/>
      <c r="F208" s="147">
        <f>SUM(F201:F207)</f>
        <v>1252.0999999999999</v>
      </c>
      <c r="G208" s="145"/>
      <c r="H208" s="147">
        <f>SUM(H201:H207)</f>
        <v>1386.1</v>
      </c>
      <c r="I208" s="144"/>
      <c r="J208" s="147">
        <f>SUM(J201:J207)</f>
        <v>1191.4000000000001</v>
      </c>
      <c r="K208" s="48"/>
      <c r="L208" s="51"/>
      <c r="M208" s="51"/>
      <c r="N208" s="51"/>
      <c r="O208" s="51"/>
      <c r="P208" s="51"/>
    </row>
    <row r="209" spans="1:16" s="41" customFormat="1" ht="16.5" customHeight="1">
      <c r="A209" s="130"/>
      <c r="B209" s="183" t="s">
        <v>216</v>
      </c>
      <c r="C209" s="129"/>
      <c r="D209" s="129"/>
      <c r="E209" s="130"/>
      <c r="F209" s="146">
        <v>-51.2</v>
      </c>
      <c r="G209" s="145"/>
      <c r="H209" s="146">
        <v>-37.700000000000003</v>
      </c>
      <c r="I209" s="144"/>
      <c r="J209" s="146">
        <v>-37.799999999999997</v>
      </c>
      <c r="K209" s="48"/>
      <c r="L209" s="51"/>
      <c r="M209" s="51"/>
      <c r="N209" s="51"/>
      <c r="O209" s="51"/>
      <c r="P209" s="51"/>
    </row>
    <row r="210" spans="1:16" s="41" customFormat="1" ht="11.45" customHeight="1">
      <c r="A210" s="130"/>
      <c r="B210" s="183" t="s">
        <v>141</v>
      </c>
      <c r="C210" s="129"/>
      <c r="D210" s="129"/>
      <c r="E210" s="130"/>
      <c r="F210" s="146">
        <v>-17.600000000000001</v>
      </c>
      <c r="G210" s="145"/>
      <c r="H210" s="146">
        <v>-22.3</v>
      </c>
      <c r="I210" s="144"/>
      <c r="J210" s="146">
        <v>-21.6</v>
      </c>
      <c r="K210" s="48"/>
      <c r="L210" s="403"/>
      <c r="M210" s="403"/>
      <c r="N210" s="403"/>
      <c r="O210" s="403"/>
      <c r="P210" s="127"/>
    </row>
    <row r="211" spans="1:16" s="57" customFormat="1" ht="15" customHeight="1">
      <c r="A211" s="132"/>
      <c r="B211" s="273" t="s">
        <v>142</v>
      </c>
      <c r="C211" s="132"/>
      <c r="D211" s="132"/>
      <c r="E211" s="274"/>
      <c r="F211" s="147">
        <f>SUM(F208:F210)</f>
        <v>1183.3</v>
      </c>
      <c r="G211" s="250"/>
      <c r="H211" s="147">
        <f>SUM(H208:H210)</f>
        <v>1326.1</v>
      </c>
      <c r="I211" s="274"/>
      <c r="J211" s="147">
        <f>SUM(J208:J210)</f>
        <v>1132.0000000000002</v>
      </c>
      <c r="K211" s="250"/>
      <c r="L211" s="231"/>
      <c r="M211" s="224"/>
      <c r="N211" s="224"/>
      <c r="O211" s="404"/>
      <c r="P211" s="396"/>
    </row>
    <row r="212" spans="1:16" ht="11.45" customHeight="1">
      <c r="A212" s="130"/>
      <c r="B212" s="129"/>
      <c r="C212" s="129"/>
      <c r="D212" s="129"/>
      <c r="E212" s="130"/>
      <c r="F212" s="144"/>
      <c r="G212" s="145"/>
      <c r="H212" s="47"/>
      <c r="I212" s="130"/>
      <c r="J212" s="48"/>
      <c r="K212" s="145"/>
      <c r="L212" s="144"/>
      <c r="M212" s="229"/>
      <c r="N212" s="229"/>
      <c r="O212" s="231"/>
      <c r="P212" s="130"/>
    </row>
    <row r="213" spans="1:16" ht="11.45" customHeight="1" thickBot="1">
      <c r="A213" s="256" t="s">
        <v>144</v>
      </c>
      <c r="B213" s="235"/>
      <c r="C213" s="256"/>
      <c r="D213" s="256"/>
      <c r="E213" s="209"/>
      <c r="F213" s="145"/>
      <c r="G213" s="223"/>
      <c r="H213" s="397"/>
      <c r="I213" s="329"/>
      <c r="J213" s="397"/>
      <c r="K213" s="223"/>
      <c r="L213" s="223"/>
      <c r="M213" s="223"/>
      <c r="N213" s="230"/>
      <c r="O213" s="229"/>
      <c r="P213" s="229"/>
    </row>
    <row r="214" spans="1:16" s="74" customFormat="1" ht="11.45" customHeight="1">
      <c r="A214" s="210"/>
      <c r="B214" s="210"/>
      <c r="C214" s="210"/>
      <c r="D214" s="210"/>
      <c r="E214" s="210"/>
      <c r="F214" s="553" t="s">
        <v>249</v>
      </c>
      <c r="G214" s="553"/>
      <c r="H214" s="553"/>
      <c r="I214" s="463"/>
      <c r="J214" s="481" t="s">
        <v>1</v>
      </c>
      <c r="K214" s="390"/>
      <c r="L214" s="210"/>
    </row>
    <row r="215" spans="1:16" ht="11.45" customHeight="1">
      <c r="A215" s="133" t="s">
        <v>99</v>
      </c>
      <c r="B215" s="131"/>
      <c r="C215" s="131"/>
      <c r="D215" s="131"/>
      <c r="E215" s="130"/>
      <c r="F215" s="268">
        <v>2017</v>
      </c>
      <c r="G215" s="214"/>
      <c r="H215" s="215">
        <v>2016</v>
      </c>
      <c r="I215" s="394"/>
      <c r="J215" s="215">
        <v>2016</v>
      </c>
      <c r="K215" s="48"/>
      <c r="L215" s="48"/>
      <c r="M215" s="48"/>
      <c r="N215" s="48"/>
      <c r="O215" s="48"/>
      <c r="P215" s="48"/>
    </row>
    <row r="216" spans="1:16" ht="11.45" customHeight="1">
      <c r="A216" s="130"/>
      <c r="B216" s="189" t="s">
        <v>136</v>
      </c>
      <c r="C216" s="248"/>
      <c r="D216" s="248"/>
      <c r="E216" s="130"/>
      <c r="F216" s="145" t="s">
        <v>0</v>
      </c>
      <c r="G216" s="223"/>
      <c r="H216" s="145"/>
      <c r="I216" s="130"/>
      <c r="J216" s="223"/>
      <c r="K216" s="223"/>
      <c r="L216" s="230"/>
      <c r="M216" s="229"/>
      <c r="N216" s="229"/>
      <c r="O216" s="127"/>
      <c r="P216" s="48"/>
    </row>
    <row r="217" spans="1:16" ht="11.45" customHeight="1">
      <c r="A217" s="130"/>
      <c r="B217" s="183" t="s">
        <v>245</v>
      </c>
      <c r="C217" s="248"/>
      <c r="D217" s="248"/>
      <c r="E217" s="130"/>
      <c r="F217" s="145">
        <v>200</v>
      </c>
      <c r="G217" s="223"/>
      <c r="H217" s="145">
        <v>340</v>
      </c>
      <c r="I217" s="130"/>
      <c r="J217" s="145">
        <v>210</v>
      </c>
      <c r="K217" s="223"/>
      <c r="L217" s="230"/>
      <c r="M217" s="229"/>
      <c r="N217" s="229"/>
      <c r="O217" s="127"/>
      <c r="P217" s="48"/>
    </row>
    <row r="218" spans="1:16" ht="11.45" customHeight="1">
      <c r="A218" s="130"/>
      <c r="B218" s="183" t="s">
        <v>145</v>
      </c>
      <c r="C218" s="248"/>
      <c r="D218" s="248"/>
      <c r="E218" s="130"/>
      <c r="F218" s="145"/>
      <c r="G218" s="223"/>
      <c r="H218" s="145">
        <v>91.2</v>
      </c>
      <c r="I218" s="130"/>
      <c r="J218" s="145">
        <v>91.2</v>
      </c>
      <c r="K218" s="223"/>
      <c r="L218" s="230"/>
      <c r="M218" s="229"/>
      <c r="N218" s="229"/>
      <c r="O218" s="127"/>
      <c r="P218" s="48"/>
    </row>
    <row r="219" spans="1:16" ht="11.45" customHeight="1">
      <c r="A219" s="130"/>
      <c r="B219" s="189" t="s">
        <v>139</v>
      </c>
      <c r="C219" s="248"/>
      <c r="D219" s="248"/>
      <c r="E219" s="130"/>
      <c r="F219" s="145"/>
      <c r="G219" s="223"/>
      <c r="H219" s="145"/>
      <c r="I219" s="130"/>
      <c r="J219" s="145"/>
      <c r="K219" s="223"/>
      <c r="L219" s="230"/>
      <c r="M219" s="229"/>
      <c r="N219" s="229"/>
      <c r="O219" s="127"/>
      <c r="P219" s="48"/>
    </row>
    <row r="220" spans="1:16" ht="11.45" customHeight="1">
      <c r="A220" s="130"/>
      <c r="B220" s="183" t="s">
        <v>146</v>
      </c>
      <c r="C220" s="248"/>
      <c r="D220" s="248"/>
      <c r="E220" s="130"/>
      <c r="F220" s="145">
        <v>6.3</v>
      </c>
      <c r="G220" s="223"/>
      <c r="H220" s="145">
        <v>6.2</v>
      </c>
      <c r="I220" s="130"/>
      <c r="J220" s="145">
        <v>5.8</v>
      </c>
      <c r="K220" s="223"/>
      <c r="L220" s="230"/>
      <c r="M220" s="229"/>
      <c r="N220" s="229"/>
      <c r="O220" s="127"/>
      <c r="P220" s="48"/>
    </row>
    <row r="221" spans="1:16" ht="11.45" customHeight="1">
      <c r="A221" s="130"/>
      <c r="B221" s="183" t="s">
        <v>147</v>
      </c>
      <c r="C221" s="248"/>
      <c r="D221" s="248"/>
      <c r="E221" s="130"/>
      <c r="F221" s="145">
        <v>2.5</v>
      </c>
      <c r="G221" s="223"/>
      <c r="H221" s="145">
        <v>8</v>
      </c>
      <c r="I221" s="130"/>
      <c r="J221" s="145">
        <v>12.5</v>
      </c>
      <c r="K221" s="223"/>
      <c r="L221" s="230"/>
      <c r="M221" s="229"/>
      <c r="N221" s="229"/>
      <c r="O221" s="127"/>
      <c r="P221" s="48"/>
    </row>
    <row r="222" spans="1:16" s="57" customFormat="1" ht="15" customHeight="1">
      <c r="A222" s="132"/>
      <c r="B222" s="273" t="s">
        <v>42</v>
      </c>
      <c r="C222" s="132"/>
      <c r="D222" s="132"/>
      <c r="E222" s="274"/>
      <c r="F222" s="147">
        <f>SUM(F217:F221)</f>
        <v>208.8</v>
      </c>
      <c r="G222" s="250"/>
      <c r="H222" s="147">
        <f>SUM(H217:H221)</f>
        <v>445.4</v>
      </c>
      <c r="I222" s="274"/>
      <c r="J222" s="147">
        <f>SUM(J217:J221)</f>
        <v>319.5</v>
      </c>
      <c r="K222" s="250"/>
      <c r="L222" s="231"/>
      <c r="M222" s="224"/>
      <c r="N222" s="224"/>
      <c r="O222" s="404"/>
      <c r="P222" s="396"/>
    </row>
    <row r="223" spans="1:16" ht="11.45" customHeight="1">
      <c r="A223" s="240"/>
      <c r="B223" s="241"/>
      <c r="C223" s="241"/>
      <c r="D223" s="241"/>
      <c r="E223" s="241"/>
      <c r="F223" s="229"/>
      <c r="G223" s="229"/>
      <c r="H223" s="229"/>
      <c r="I223" s="241"/>
      <c r="J223" s="229"/>
      <c r="K223" s="229"/>
      <c r="L223" s="130"/>
      <c r="M223" s="392"/>
      <c r="N223" s="130"/>
      <c r="O223" s="55"/>
      <c r="P223" s="48"/>
    </row>
    <row r="224" spans="1:16" ht="11.45" customHeight="1" thickBot="1">
      <c r="A224" s="256" t="s">
        <v>87</v>
      </c>
      <c r="B224" s="235"/>
      <c r="C224" s="256"/>
      <c r="D224" s="256"/>
      <c r="E224" s="209"/>
      <c r="F224" s="145"/>
      <c r="G224" s="223"/>
      <c r="H224" s="397"/>
      <c r="I224" s="209"/>
      <c r="J224" s="397"/>
      <c r="K224" s="223"/>
      <c r="L224" s="223"/>
      <c r="M224" s="223"/>
      <c r="N224" s="230"/>
      <c r="O224" s="229"/>
      <c r="P224" s="229"/>
    </row>
    <row r="225" spans="1:19" s="74" customFormat="1" ht="11.45" customHeight="1">
      <c r="A225" s="210"/>
      <c r="B225" s="210"/>
      <c r="C225" s="210"/>
      <c r="D225" s="210"/>
      <c r="E225" s="210"/>
      <c r="F225" s="553" t="s">
        <v>249</v>
      </c>
      <c r="G225" s="553"/>
      <c r="H225" s="553"/>
      <c r="I225" s="384"/>
      <c r="J225" s="481" t="s">
        <v>1</v>
      </c>
      <c r="K225" s="390"/>
      <c r="L225" s="210"/>
    </row>
    <row r="226" spans="1:19" ht="11.45" customHeight="1">
      <c r="A226" s="133" t="s">
        <v>99</v>
      </c>
      <c r="B226" s="133"/>
      <c r="C226" s="133"/>
      <c r="D226" s="133"/>
      <c r="E226" s="130"/>
      <c r="F226" s="268">
        <v>2017</v>
      </c>
      <c r="G226" s="214"/>
      <c r="H226" s="215">
        <v>2016</v>
      </c>
      <c r="I226" s="229"/>
      <c r="J226" s="375">
        <v>2016</v>
      </c>
      <c r="K226" s="48"/>
      <c r="L226" s="48"/>
      <c r="M226" s="48"/>
      <c r="N226" s="48"/>
      <c r="O226" s="48"/>
      <c r="P226" s="48"/>
    </row>
    <row r="227" spans="1:19" ht="11.45" customHeight="1">
      <c r="A227" s="236"/>
      <c r="B227" s="236"/>
      <c r="C227" s="236"/>
      <c r="D227" s="236"/>
      <c r="E227" s="130"/>
      <c r="F227" s="398" t="s">
        <v>0</v>
      </c>
      <c r="G227" s="398"/>
      <c r="H227" s="398"/>
      <c r="I227" s="398"/>
      <c r="J227" s="130"/>
      <c r="K227" s="48"/>
      <c r="L227" s="58"/>
      <c r="M227" s="48"/>
      <c r="N227" s="195"/>
      <c r="O227" s="48"/>
      <c r="P227" s="48"/>
    </row>
    <row r="228" spans="1:19" ht="11.45" customHeight="1">
      <c r="A228" s="130"/>
      <c r="B228" s="183" t="s">
        <v>2</v>
      </c>
      <c r="C228" s="248"/>
      <c r="D228" s="248"/>
      <c r="E228" s="130"/>
      <c r="F228" s="145">
        <v>24.2</v>
      </c>
      <c r="G228" s="223"/>
      <c r="H228" s="145">
        <v>77.3</v>
      </c>
      <c r="I228" s="130"/>
      <c r="J228" s="145">
        <v>61.7</v>
      </c>
      <c r="K228" s="223"/>
      <c r="L228" s="230"/>
      <c r="M228" s="229"/>
      <c r="N228" s="229"/>
      <c r="O228" s="127"/>
      <c r="P228" s="48"/>
    </row>
    <row r="229" spans="1:19" ht="11.45" customHeight="1">
      <c r="A229" s="129"/>
      <c r="B229" s="183" t="s">
        <v>44</v>
      </c>
      <c r="C229" s="129"/>
      <c r="D229" s="129"/>
      <c r="E229" s="130"/>
      <c r="F229" s="145">
        <v>114.7</v>
      </c>
      <c r="G229" s="250"/>
      <c r="H229" s="145">
        <v>100.2</v>
      </c>
      <c r="I229" s="130"/>
      <c r="J229" s="145">
        <v>101</v>
      </c>
      <c r="K229" s="250"/>
      <c r="L229" s="231"/>
      <c r="M229" s="224"/>
      <c r="N229" s="224"/>
      <c r="O229" s="127"/>
      <c r="P229" s="48"/>
    </row>
    <row r="230" spans="1:19" ht="11.45" hidden="1" customHeight="1">
      <c r="A230" s="130"/>
      <c r="B230" s="183" t="s">
        <v>43</v>
      </c>
      <c r="C230" s="248"/>
      <c r="D230" s="248"/>
      <c r="E230" s="130"/>
      <c r="F230" s="145"/>
      <c r="G230" s="223"/>
      <c r="H230" s="145">
        <v>0</v>
      </c>
      <c r="I230" s="130"/>
      <c r="J230" s="145"/>
      <c r="K230" s="223"/>
      <c r="L230" s="230"/>
      <c r="M230" s="229"/>
      <c r="N230" s="229"/>
      <c r="O230" s="127"/>
      <c r="P230" s="48"/>
    </row>
    <row r="231" spans="1:19" ht="11.45" customHeight="1">
      <c r="A231" s="129"/>
      <c r="B231" s="183" t="s">
        <v>14</v>
      </c>
      <c r="C231" s="129"/>
      <c r="D231" s="129"/>
      <c r="E231" s="130"/>
      <c r="F231" s="145">
        <v>-51.2</v>
      </c>
      <c r="G231" s="250"/>
      <c r="H231" s="145">
        <v>-37.700000000000003</v>
      </c>
      <c r="I231" s="130"/>
      <c r="J231" s="145">
        <v>-38.799999999999997</v>
      </c>
      <c r="K231" s="250"/>
      <c r="L231" s="231"/>
      <c r="M231" s="224"/>
      <c r="N231" s="224"/>
      <c r="O231" s="127"/>
      <c r="P231" s="48"/>
    </row>
    <row r="232" spans="1:19" ht="11.45" customHeight="1">
      <c r="A232" s="130"/>
      <c r="B232" s="183" t="s">
        <v>167</v>
      </c>
      <c r="C232" s="248"/>
      <c r="D232" s="248"/>
      <c r="E232" s="130"/>
      <c r="F232" s="145">
        <v>-1183.3</v>
      </c>
      <c r="G232" s="223"/>
      <c r="H232" s="145">
        <v>-1326.1</v>
      </c>
      <c r="I232" s="130"/>
      <c r="J232" s="145">
        <v>-1132</v>
      </c>
      <c r="K232" s="223"/>
      <c r="L232" s="230"/>
      <c r="M232" s="229"/>
      <c r="N232" s="229"/>
      <c r="O232" s="127"/>
      <c r="P232" s="48"/>
    </row>
    <row r="233" spans="1:19" ht="11.45" customHeight="1">
      <c r="A233" s="129"/>
      <c r="B233" s="183" t="s">
        <v>110</v>
      </c>
      <c r="C233" s="129"/>
      <c r="D233" s="129"/>
      <c r="E233" s="130"/>
      <c r="F233" s="145">
        <v>-17.600000000000001</v>
      </c>
      <c r="G233" s="250"/>
      <c r="H233" s="145">
        <v>-22.3</v>
      </c>
      <c r="I233" s="130"/>
      <c r="J233" s="145">
        <v>-21.6</v>
      </c>
      <c r="K233" s="250"/>
      <c r="L233" s="231"/>
      <c r="M233" s="224"/>
      <c r="N233" s="224"/>
      <c r="O233" s="127"/>
      <c r="P233" s="48"/>
    </row>
    <row r="234" spans="1:19" s="57" customFormat="1" ht="16.5" customHeight="1">
      <c r="A234" s="132"/>
      <c r="B234" s="273" t="s">
        <v>42</v>
      </c>
      <c r="C234" s="132"/>
      <c r="D234" s="132"/>
      <c r="E234" s="274"/>
      <c r="F234" s="147">
        <f>SUM(F228:F233)</f>
        <v>-1113.1999999999998</v>
      </c>
      <c r="G234" s="250"/>
      <c r="H234" s="147">
        <f>SUM(H228:H233)</f>
        <v>-1208.5999999999999</v>
      </c>
      <c r="I234" s="274"/>
      <c r="J234" s="147">
        <f>SUM(J228:J233)</f>
        <v>-1029.7</v>
      </c>
      <c r="K234" s="250"/>
      <c r="L234" s="231"/>
      <c r="M234" s="224"/>
      <c r="N234" s="224"/>
      <c r="O234" s="404"/>
      <c r="P234" s="396"/>
    </row>
    <row r="235" spans="1:19" ht="11.45" customHeight="1">
      <c r="A235" s="240"/>
      <c r="B235" s="243"/>
      <c r="C235" s="243"/>
      <c r="D235" s="243"/>
      <c r="E235" s="243"/>
      <c r="F235" s="322"/>
      <c r="G235" s="322"/>
      <c r="H235" s="322"/>
      <c r="I235" s="322"/>
      <c r="J235" s="322"/>
      <c r="K235" s="322"/>
      <c r="L235" s="322"/>
      <c r="M235" s="322"/>
      <c r="N235" s="129"/>
      <c r="O235" s="322"/>
      <c r="P235" s="392"/>
    </row>
    <row r="236" spans="1:19" ht="11.45" customHeight="1">
      <c r="A236" s="244" t="s">
        <v>0</v>
      </c>
      <c r="B236" s="155"/>
      <c r="C236" s="245"/>
      <c r="D236" s="228"/>
      <c r="E236" s="228"/>
      <c r="F236" s="232"/>
      <c r="G236" s="232"/>
      <c r="H236" s="232"/>
      <c r="I236" s="228"/>
      <c r="J236" s="228"/>
      <c r="K236" s="228"/>
      <c r="L236" s="228"/>
      <c r="M236" s="228"/>
      <c r="N236" s="232"/>
      <c r="O236" s="232"/>
      <c r="P236" s="234"/>
    </row>
    <row r="237" spans="1:19" s="41" customFormat="1" ht="15" customHeight="1">
      <c r="A237" s="205" t="s">
        <v>192</v>
      </c>
      <c r="B237" s="208"/>
      <c r="C237" s="208"/>
      <c r="D237" s="208"/>
      <c r="E237" s="206"/>
      <c r="F237" s="206" t="s">
        <v>0</v>
      </c>
      <c r="G237" s="206"/>
      <c r="H237" s="206" t="s">
        <v>0</v>
      </c>
      <c r="I237" s="206"/>
      <c r="J237" s="206"/>
      <c r="K237" s="206"/>
      <c r="L237" s="206"/>
      <c r="M237" s="206"/>
      <c r="N237" s="206" t="s">
        <v>0</v>
      </c>
      <c r="O237" s="207"/>
      <c r="P237" s="207"/>
      <c r="Q237" s="77"/>
      <c r="R237" s="77"/>
      <c r="S237" s="76"/>
    </row>
    <row r="238" spans="1:19" ht="11.45" customHeight="1">
      <c r="A238" s="244"/>
      <c r="B238" s="155"/>
      <c r="C238" s="245"/>
      <c r="D238" s="228"/>
      <c r="E238" s="228"/>
      <c r="F238" s="232"/>
      <c r="G238" s="232"/>
      <c r="H238" s="232"/>
      <c r="I238" s="228"/>
      <c r="J238" s="228"/>
      <c r="K238" s="228"/>
      <c r="L238" s="228"/>
      <c r="M238" s="228"/>
      <c r="N238" s="232"/>
      <c r="O238" s="232"/>
      <c r="P238" s="234"/>
    </row>
    <row r="239" spans="1:19" ht="11.45" customHeight="1" thickBot="1">
      <c r="A239" s="284" t="s">
        <v>27</v>
      </c>
      <c r="B239" s="187"/>
      <c r="C239" s="209"/>
      <c r="D239" s="209"/>
      <c r="E239" s="209"/>
      <c r="F239" s="254"/>
      <c r="G239" s="255"/>
      <c r="H239" s="256"/>
      <c r="I239" s="209"/>
      <c r="J239" s="209"/>
      <c r="K239" s="209"/>
      <c r="L239" s="209"/>
      <c r="M239" s="209"/>
      <c r="N239" s="256"/>
      <c r="O239" s="255"/>
      <c r="P239" s="255"/>
    </row>
    <row r="240" spans="1:19" ht="11.45" customHeight="1">
      <c r="A240" s="257" t="s">
        <v>0</v>
      </c>
      <c r="B240" s="248"/>
      <c r="C240" s="241"/>
      <c r="D240" s="241"/>
      <c r="E240" s="241"/>
      <c r="F240" s="550" t="s">
        <v>5</v>
      </c>
      <c r="G240" s="550"/>
      <c r="H240" s="550"/>
      <c r="I240" s="241"/>
      <c r="J240" s="550" t="s">
        <v>254</v>
      </c>
      <c r="K240" s="550"/>
      <c r="L240" s="550"/>
      <c r="M240" s="241"/>
      <c r="N240" s="479" t="s">
        <v>20</v>
      </c>
      <c r="O240" s="420"/>
      <c r="P240" s="384"/>
    </row>
    <row r="241" spans="1:20" ht="11.45" customHeight="1">
      <c r="A241" s="240"/>
      <c r="B241" s="248"/>
      <c r="C241" s="241"/>
      <c r="D241" s="241"/>
      <c r="E241" s="241"/>
      <c r="F241" s="549" t="s">
        <v>249</v>
      </c>
      <c r="G241" s="549"/>
      <c r="H241" s="549"/>
      <c r="I241" s="241"/>
      <c r="J241" s="549" t="s">
        <v>249</v>
      </c>
      <c r="K241" s="549"/>
      <c r="L241" s="549"/>
      <c r="M241" s="241"/>
      <c r="N241" s="478" t="s">
        <v>1</v>
      </c>
      <c r="O241" s="421"/>
      <c r="P241" s="384"/>
    </row>
    <row r="242" spans="1:20" ht="11.45" customHeight="1">
      <c r="A242" s="257" t="s">
        <v>0</v>
      </c>
      <c r="B242" s="257"/>
      <c r="C242" s="167"/>
      <c r="D242" s="258"/>
      <c r="E242" s="167"/>
      <c r="F242" s="268">
        <v>2017</v>
      </c>
      <c r="G242" s="214"/>
      <c r="H242" s="215">
        <v>2016</v>
      </c>
      <c r="I242" s="167"/>
      <c r="J242" s="268">
        <v>2017</v>
      </c>
      <c r="K242" s="214"/>
      <c r="L242" s="215">
        <v>2016</v>
      </c>
      <c r="M242" s="167"/>
      <c r="N242" s="215">
        <v>2016</v>
      </c>
      <c r="O242" s="214"/>
      <c r="P242" s="394"/>
    </row>
    <row r="243" spans="1:20" ht="11.45" customHeight="1">
      <c r="A243" s="163" t="s">
        <v>28</v>
      </c>
      <c r="B243" s="172"/>
      <c r="C243" s="257"/>
      <c r="D243" s="260"/>
      <c r="E243" s="257"/>
      <c r="F243" s="371">
        <v>-0.56000000000000005</v>
      </c>
      <c r="G243" s="346"/>
      <c r="H243" s="262">
        <v>-0.12</v>
      </c>
      <c r="I243" s="347"/>
      <c r="J243" s="371">
        <f>-0.42+F243+0.01</f>
        <v>-0.97</v>
      </c>
      <c r="K243" s="347"/>
      <c r="L243" s="262">
        <v>-0.57999999999999996</v>
      </c>
      <c r="M243" s="347"/>
      <c r="N243" s="262">
        <v>-1.21</v>
      </c>
      <c r="O243" s="261"/>
      <c r="P243" s="405"/>
    </row>
    <row r="244" spans="1:20" ht="11.45" customHeight="1">
      <c r="A244" s="263" t="s">
        <v>101</v>
      </c>
      <c r="B244" s="263"/>
      <c r="C244" s="264"/>
      <c r="D244" s="263"/>
      <c r="E244" s="146"/>
      <c r="F244" s="265">
        <v>-0.56000000000000005</v>
      </c>
      <c r="G244" s="331"/>
      <c r="H244" s="265">
        <v>-0.12</v>
      </c>
      <c r="I244" s="333"/>
      <c r="J244" s="265">
        <f>-0.41+F244</f>
        <v>-0.97</v>
      </c>
      <c r="K244" s="333"/>
      <c r="L244" s="265">
        <v>-0.57999999999999996</v>
      </c>
      <c r="M244" s="333"/>
      <c r="N244" s="265">
        <v>-1.21</v>
      </c>
      <c r="O244" s="145"/>
      <c r="P244" s="405"/>
      <c r="Q244" s="48"/>
    </row>
    <row r="245" spans="1:20" ht="13.5" customHeight="1">
      <c r="A245" s="266" t="s">
        <v>40</v>
      </c>
      <c r="B245" s="197"/>
      <c r="C245" s="267"/>
      <c r="D245" s="181"/>
      <c r="E245" s="267"/>
      <c r="F245" s="271">
        <v>338543497</v>
      </c>
      <c r="G245" s="272"/>
      <c r="H245" s="259">
        <v>238880255</v>
      </c>
      <c r="I245" s="272"/>
      <c r="J245" s="271">
        <v>337627311</v>
      </c>
      <c r="K245" s="272"/>
      <c r="L245" s="259">
        <v>238481536</v>
      </c>
      <c r="M245" s="272"/>
      <c r="N245" s="259">
        <v>242555132</v>
      </c>
      <c r="O245" s="272"/>
      <c r="P245" s="259"/>
    </row>
    <row r="246" spans="1:20" ht="11.45" customHeight="1">
      <c r="A246" s="266" t="s">
        <v>102</v>
      </c>
      <c r="B246" s="197"/>
      <c r="C246" s="267"/>
      <c r="D246" s="181"/>
      <c r="E246" s="267"/>
      <c r="F246" s="271">
        <v>339923754</v>
      </c>
      <c r="G246" s="272"/>
      <c r="H246" s="259">
        <v>239048569</v>
      </c>
      <c r="I246" s="272"/>
      <c r="J246" s="271">
        <v>339537399</v>
      </c>
      <c r="K246" s="272"/>
      <c r="L246" s="259">
        <v>239298678</v>
      </c>
      <c r="M246" s="272"/>
      <c r="N246" s="259">
        <v>243643599</v>
      </c>
      <c r="O246" s="272"/>
      <c r="P246" s="259"/>
    </row>
    <row r="247" spans="1:20" ht="11.45" customHeight="1">
      <c r="A247" s="266"/>
      <c r="B247" s="197"/>
      <c r="C247" s="267"/>
      <c r="D247" s="181"/>
      <c r="E247" s="267"/>
      <c r="F247" s="271"/>
      <c r="G247" s="272"/>
      <c r="H247" s="259"/>
      <c r="I247" s="267"/>
      <c r="J247" s="267"/>
      <c r="K247" s="267"/>
      <c r="L247" s="267"/>
      <c r="M247" s="267"/>
      <c r="N247" s="259"/>
      <c r="O247" s="272"/>
      <c r="P247" s="259"/>
    </row>
    <row r="248" spans="1:20" ht="11.45" customHeight="1">
      <c r="A248" s="266"/>
      <c r="B248" s="197"/>
      <c r="C248" s="267"/>
      <c r="D248" s="181"/>
      <c r="E248" s="267"/>
      <c r="F248" s="271"/>
      <c r="G248" s="272"/>
      <c r="H248" s="259"/>
      <c r="I248" s="267"/>
      <c r="J248" s="267"/>
      <c r="K248" s="267"/>
      <c r="L248" s="267"/>
      <c r="M248" s="267"/>
      <c r="N248" s="259"/>
      <c r="O248" s="272"/>
      <c r="P248" s="259"/>
    </row>
    <row r="249" spans="1:20" s="41" customFormat="1" ht="15" customHeight="1">
      <c r="A249" s="205" t="s">
        <v>197</v>
      </c>
      <c r="B249" s="208"/>
      <c r="C249" s="208"/>
      <c r="D249" s="208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7"/>
      <c r="P249" s="207"/>
      <c r="Q249" s="77"/>
      <c r="R249" s="77"/>
      <c r="S249" s="76"/>
    </row>
    <row r="250" spans="1:20" ht="11.45" customHeight="1">
      <c r="A250" s="266"/>
      <c r="B250" s="197"/>
      <c r="C250" s="267"/>
      <c r="D250" s="181"/>
      <c r="E250" s="267"/>
      <c r="F250" s="271"/>
      <c r="G250" s="272"/>
      <c r="H250" s="259"/>
      <c r="I250" s="267"/>
      <c r="J250" s="267"/>
      <c r="K250" s="267"/>
      <c r="L250" s="267"/>
      <c r="M250" s="267"/>
      <c r="N250" s="259"/>
      <c r="O250" s="272"/>
      <c r="P250" s="259"/>
    </row>
    <row r="251" spans="1:20" s="41" customFormat="1" ht="11.45" customHeight="1" thickBot="1">
      <c r="A251" s="209" t="s">
        <v>198</v>
      </c>
      <c r="B251" s="209"/>
      <c r="C251" s="209"/>
      <c r="D251" s="246"/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68"/>
      <c r="R251" s="68"/>
      <c r="S251" s="68"/>
      <c r="T251" s="59"/>
    </row>
    <row r="252" spans="1:20" s="74" customFormat="1" ht="11.45" customHeight="1">
      <c r="A252" s="210"/>
      <c r="B252" s="210"/>
      <c r="C252" s="210"/>
      <c r="D252" s="210"/>
      <c r="E252" s="210"/>
      <c r="F252" s="550" t="s">
        <v>5</v>
      </c>
      <c r="G252" s="550"/>
      <c r="H252" s="550"/>
      <c r="I252" s="210"/>
      <c r="J252" s="550" t="s">
        <v>254</v>
      </c>
      <c r="K252" s="550"/>
      <c r="L252" s="550"/>
      <c r="M252" s="210"/>
      <c r="N252" s="479" t="s">
        <v>20</v>
      </c>
      <c r="O252" s="420"/>
      <c r="P252" s="384"/>
    </row>
    <row r="253" spans="1:20" s="74" customFormat="1" ht="11.45" customHeight="1">
      <c r="A253" s="210"/>
      <c r="B253" s="210"/>
      <c r="C253" s="210"/>
      <c r="D253" s="210"/>
      <c r="E253" s="210"/>
      <c r="F253" s="549" t="s">
        <v>249</v>
      </c>
      <c r="G253" s="549"/>
      <c r="H253" s="549"/>
      <c r="I253" s="210"/>
      <c r="J253" s="549" t="s">
        <v>249</v>
      </c>
      <c r="K253" s="549"/>
      <c r="L253" s="549"/>
      <c r="M253" s="210"/>
      <c r="N253" s="478" t="s">
        <v>1</v>
      </c>
      <c r="O253" s="421"/>
      <c r="P253" s="384"/>
    </row>
    <row r="254" spans="1:20" ht="11.45" customHeight="1">
      <c r="A254" s="226" t="s">
        <v>99</v>
      </c>
      <c r="B254" s="133"/>
      <c r="C254" s="133"/>
      <c r="D254" s="133"/>
      <c r="E254" s="130"/>
      <c r="F254" s="268">
        <v>2017</v>
      </c>
      <c r="G254" s="214"/>
      <c r="H254" s="215">
        <v>2016</v>
      </c>
      <c r="I254" s="130"/>
      <c r="J254" s="375">
        <v>2017</v>
      </c>
      <c r="K254" s="130"/>
      <c r="L254" s="375">
        <v>2016</v>
      </c>
      <c r="M254" s="130"/>
      <c r="N254" s="215">
        <v>2016</v>
      </c>
      <c r="O254" s="214"/>
      <c r="P254" s="394"/>
    </row>
    <row r="255" spans="1:20" ht="11.45" customHeight="1">
      <c r="A255" s="236"/>
      <c r="B255" s="236"/>
      <c r="C255" s="236"/>
      <c r="D255" s="236"/>
      <c r="E255" s="130"/>
      <c r="F255" s="156"/>
      <c r="G255" s="156"/>
      <c r="H255" s="156"/>
      <c r="I255" s="130"/>
      <c r="J255" s="130"/>
      <c r="K255" s="130"/>
      <c r="L255" s="130"/>
      <c r="M255" s="130"/>
      <c r="N255" s="156"/>
      <c r="O255" s="156"/>
      <c r="P255" s="156"/>
    </row>
    <row r="256" spans="1:20" ht="11.45" customHeight="1">
      <c r="A256" s="130"/>
      <c r="B256" s="130" t="s">
        <v>258</v>
      </c>
      <c r="C256" s="130"/>
      <c r="D256" s="130"/>
      <c r="E256" s="130"/>
      <c r="F256" s="145">
        <f>12.7+0.1</f>
        <v>12.799999999999999</v>
      </c>
      <c r="G256" s="247"/>
      <c r="H256" s="145">
        <v>-44.1</v>
      </c>
      <c r="I256" s="252"/>
      <c r="J256" s="507">
        <f>0.6+F256</f>
        <v>13.399999999999999</v>
      </c>
      <c r="K256" s="252"/>
      <c r="L256" s="145">
        <v>-55.6</v>
      </c>
      <c r="M256" s="252"/>
      <c r="N256" s="145">
        <v>-32.799999999999997</v>
      </c>
      <c r="O256" s="222"/>
      <c r="P256" s="222"/>
    </row>
    <row r="257" spans="1:16" ht="11.45" customHeight="1">
      <c r="A257" s="130"/>
      <c r="B257" s="183" t="s">
        <v>154</v>
      </c>
      <c r="C257" s="248"/>
      <c r="D257" s="248"/>
      <c r="E257" s="130"/>
      <c r="F257" s="145">
        <v>0</v>
      </c>
      <c r="G257" s="249"/>
      <c r="H257" s="145">
        <v>7.4</v>
      </c>
      <c r="I257" s="252"/>
      <c r="J257" s="507">
        <f>-10.8+F257</f>
        <v>-10.8</v>
      </c>
      <c r="K257" s="252"/>
      <c r="L257" s="145">
        <v>9.5</v>
      </c>
      <c r="M257" s="252"/>
      <c r="N257" s="145">
        <v>0.1</v>
      </c>
      <c r="O257" s="223"/>
      <c r="P257" s="223"/>
    </row>
    <row r="258" spans="1:16" s="57" customFormat="1" ht="15.75" customHeight="1">
      <c r="A258" s="132"/>
      <c r="B258" s="273" t="s">
        <v>126</v>
      </c>
      <c r="C258" s="132"/>
      <c r="D258" s="132"/>
      <c r="E258" s="274"/>
      <c r="F258" s="147">
        <f>SUM(F256:F257)</f>
        <v>12.799999999999999</v>
      </c>
      <c r="G258" s="349"/>
      <c r="H258" s="147">
        <f>SUM(H256:H257)</f>
        <v>-36.700000000000003</v>
      </c>
      <c r="I258" s="350"/>
      <c r="J258" s="147">
        <f>SUM(J256:J257)</f>
        <v>2.5999999999999979</v>
      </c>
      <c r="K258" s="350"/>
      <c r="L258" s="147">
        <f>SUM(L256:L257)</f>
        <v>-46.1</v>
      </c>
      <c r="M258" s="350"/>
      <c r="N258" s="147">
        <f>SUM(N256:N257)</f>
        <v>-32.699999999999996</v>
      </c>
      <c r="O258" s="250"/>
      <c r="P258" s="224"/>
    </row>
    <row r="259" spans="1:16" ht="11.45" customHeight="1">
      <c r="A259" s="251"/>
      <c r="B259" s="189" t="s">
        <v>155</v>
      </c>
      <c r="C259" s="155"/>
      <c r="D259" s="155"/>
      <c r="E259" s="204"/>
      <c r="F259" s="145"/>
      <c r="G259" s="351"/>
      <c r="H259" s="331"/>
      <c r="I259" s="334"/>
      <c r="J259" s="334"/>
      <c r="K259" s="334"/>
      <c r="L259" s="334"/>
      <c r="M259" s="334"/>
      <c r="N259" s="145"/>
      <c r="O259" s="270"/>
      <c r="P259" s="406"/>
    </row>
    <row r="260" spans="1:16" ht="11.45" customHeight="1">
      <c r="A260" s="130" t="s">
        <v>0</v>
      </c>
      <c r="B260" s="184" t="s">
        <v>148</v>
      </c>
      <c r="C260" s="155"/>
      <c r="D260" s="155"/>
      <c r="E260" s="130"/>
      <c r="F260" s="331">
        <v>2</v>
      </c>
      <c r="G260" s="252"/>
      <c r="H260" s="331">
        <v>1</v>
      </c>
      <c r="I260" s="252"/>
      <c r="J260" s="508">
        <f>1.1+F260</f>
        <v>3.1</v>
      </c>
      <c r="K260" s="252"/>
      <c r="L260" s="145">
        <v>2.5</v>
      </c>
      <c r="M260" s="252"/>
      <c r="N260" s="145">
        <v>0.5</v>
      </c>
      <c r="O260" s="130"/>
      <c r="P260" s="392"/>
    </row>
    <row r="261" spans="1:16" ht="11.45" customHeight="1">
      <c r="A261" s="130"/>
      <c r="B261" s="248" t="s">
        <v>158</v>
      </c>
      <c r="C261" s="130"/>
      <c r="D261" s="130"/>
      <c r="E261" s="130"/>
      <c r="F261" s="331">
        <v>0</v>
      </c>
      <c r="G261" s="247"/>
      <c r="H261" s="331">
        <v>-0.1</v>
      </c>
      <c r="I261" s="252"/>
      <c r="J261" s="508">
        <f>0.3+F261</f>
        <v>0.3</v>
      </c>
      <c r="K261" s="252"/>
      <c r="L261" s="145">
        <v>-0.1</v>
      </c>
      <c r="M261" s="252"/>
      <c r="N261" s="145">
        <v>0</v>
      </c>
      <c r="O261" s="222"/>
      <c r="P261" s="222"/>
    </row>
    <row r="262" spans="1:16" ht="11.45" hidden="1" customHeight="1">
      <c r="A262" s="130"/>
      <c r="B262" s="183" t="s">
        <v>156</v>
      </c>
      <c r="C262" s="248"/>
      <c r="D262" s="248"/>
      <c r="E262" s="130"/>
      <c r="F262" s="145"/>
      <c r="G262" s="249"/>
      <c r="H262" s="331">
        <v>0</v>
      </c>
      <c r="I262" s="252"/>
      <c r="J262" s="252"/>
      <c r="K262" s="252"/>
      <c r="L262" s="145"/>
      <c r="M262" s="252"/>
      <c r="N262" s="145">
        <v>0</v>
      </c>
      <c r="O262" s="223"/>
      <c r="P262" s="223"/>
    </row>
    <row r="263" spans="1:16" ht="11.45" customHeight="1">
      <c r="A263" s="240"/>
      <c r="B263" s="407" t="s">
        <v>199</v>
      </c>
      <c r="C263" s="241"/>
      <c r="D263" s="241"/>
      <c r="E263" s="241"/>
      <c r="F263" s="145"/>
      <c r="G263" s="331"/>
      <c r="H263" s="145" t="s">
        <v>0</v>
      </c>
      <c r="I263" s="354"/>
      <c r="J263" s="354"/>
      <c r="K263" s="354"/>
      <c r="L263" s="145" t="s">
        <v>0</v>
      </c>
      <c r="M263" s="354"/>
      <c r="N263" s="145" t="s">
        <v>0</v>
      </c>
      <c r="O263" s="145"/>
      <c r="P263" s="145"/>
    </row>
    <row r="264" spans="1:16" ht="11.45" customHeight="1">
      <c r="A264" s="240"/>
      <c r="B264" s="184" t="s">
        <v>148</v>
      </c>
      <c r="C264" s="241"/>
      <c r="D264" s="241"/>
      <c r="E264" s="241"/>
      <c r="F264" s="145">
        <v>0</v>
      </c>
      <c r="G264" s="331"/>
      <c r="H264" s="145">
        <v>-1</v>
      </c>
      <c r="I264" s="354"/>
      <c r="J264" s="509">
        <f>0+F264</f>
        <v>0</v>
      </c>
      <c r="K264" s="354"/>
      <c r="L264" s="145">
        <v>-0.4</v>
      </c>
      <c r="M264" s="354"/>
      <c r="N264" s="145">
        <v>-0.6</v>
      </c>
      <c r="O264" s="145"/>
      <c r="P264" s="145"/>
    </row>
    <row r="265" spans="1:16" ht="11.45" customHeight="1">
      <c r="A265" s="240"/>
      <c r="B265" s="248" t="s">
        <v>158</v>
      </c>
      <c r="C265" s="241"/>
      <c r="D265" s="241"/>
      <c r="E265" s="241"/>
      <c r="F265" s="145">
        <v>0</v>
      </c>
      <c r="G265" s="331"/>
      <c r="H265" s="145">
        <v>-0.3</v>
      </c>
      <c r="I265" s="354"/>
      <c r="J265" s="509">
        <f>0+F265</f>
        <v>0</v>
      </c>
      <c r="K265" s="354"/>
      <c r="L265" s="145">
        <v>-0.3</v>
      </c>
      <c r="M265" s="354"/>
      <c r="N265" s="145">
        <v>0.6</v>
      </c>
      <c r="O265" s="145"/>
      <c r="P265" s="145"/>
    </row>
    <row r="266" spans="1:16" ht="11.45" customHeight="1">
      <c r="A266" s="253"/>
      <c r="B266" s="287" t="s">
        <v>157</v>
      </c>
      <c r="C266" s="243"/>
      <c r="D266" s="243"/>
      <c r="E266" s="243"/>
      <c r="F266" s="145">
        <v>0.3</v>
      </c>
      <c r="G266" s="352"/>
      <c r="H266" s="145">
        <v>0.2</v>
      </c>
      <c r="I266" s="353"/>
      <c r="J266" s="145">
        <f>0.8+F266</f>
        <v>1.1000000000000001</v>
      </c>
      <c r="K266" s="353"/>
      <c r="L266" s="145">
        <v>-0.6</v>
      </c>
      <c r="M266" s="353"/>
      <c r="N266" s="145">
        <v>-1.4</v>
      </c>
      <c r="O266" s="230"/>
      <c r="P266" s="229"/>
    </row>
    <row r="267" spans="1:16" s="57" customFormat="1" ht="15" customHeight="1">
      <c r="A267" s="132"/>
      <c r="B267" s="273" t="s">
        <v>159</v>
      </c>
      <c r="C267" s="132"/>
      <c r="D267" s="132"/>
      <c r="E267" s="274"/>
      <c r="F267" s="147">
        <f>SUM(F260:F266)</f>
        <v>2.2999999999999998</v>
      </c>
      <c r="G267" s="250"/>
      <c r="H267" s="147">
        <f>SUM(H260:H266)</f>
        <v>-0.19999999999999996</v>
      </c>
      <c r="I267" s="274"/>
      <c r="J267" s="147">
        <f>SUM(J260:J266)</f>
        <v>4.5</v>
      </c>
      <c r="K267" s="274"/>
      <c r="L267" s="147">
        <f>SUM(L260:L266)</f>
        <v>1.1000000000000001</v>
      </c>
      <c r="M267" s="274"/>
      <c r="N267" s="147">
        <f>SUM(N260:N266)</f>
        <v>-0.89999999999999991</v>
      </c>
      <c r="O267" s="250"/>
      <c r="P267" s="224"/>
    </row>
    <row r="268" spans="1:16" ht="11.1" customHeight="1">
      <c r="A268" s="129"/>
      <c r="B268" s="183"/>
      <c r="C268" s="129"/>
      <c r="D268" s="129"/>
      <c r="E268" s="130"/>
      <c r="F268" s="144"/>
      <c r="G268" s="250"/>
      <c r="H268" s="146"/>
      <c r="I268" s="130"/>
      <c r="J268" s="130"/>
      <c r="K268" s="130"/>
      <c r="L268" s="130"/>
      <c r="M268" s="130"/>
      <c r="N268" s="250"/>
      <c r="O268" s="146"/>
      <c r="P268" s="224"/>
    </row>
    <row r="269" spans="1:16">
      <c r="A269" s="266"/>
      <c r="B269" s="197"/>
      <c r="C269" s="267"/>
      <c r="D269" s="181"/>
      <c r="E269" s="267"/>
      <c r="F269" s="259"/>
      <c r="G269" s="267"/>
      <c r="H269" s="259"/>
      <c r="I269" s="267"/>
      <c r="J269" s="267"/>
      <c r="K269" s="267"/>
      <c r="L269" s="267"/>
      <c r="M269" s="267"/>
      <c r="N269" s="267"/>
      <c r="O269" s="259"/>
      <c r="P269" s="259"/>
    </row>
    <row r="270" spans="1:16" ht="18.75">
      <c r="A270" s="205" t="s">
        <v>232</v>
      </c>
      <c r="B270" s="208"/>
      <c r="C270" s="409"/>
      <c r="D270" s="409"/>
      <c r="E270" s="409"/>
      <c r="F270" s="409"/>
      <c r="G270" s="409"/>
      <c r="H270" s="409"/>
      <c r="I270" s="409"/>
      <c r="J270" s="409"/>
      <c r="K270" s="409"/>
      <c r="L270" s="409"/>
      <c r="M270" s="409"/>
      <c r="N270" s="267"/>
      <c r="O270" s="259"/>
      <c r="P270" s="363"/>
    </row>
    <row r="271" spans="1:16" ht="13.5" thickBot="1">
      <c r="A271" s="209"/>
      <c r="B271" s="209"/>
      <c r="C271" s="209"/>
      <c r="D271" s="246"/>
      <c r="E271" s="235"/>
      <c r="F271" s="235"/>
      <c r="G271" s="235"/>
      <c r="H271" s="235"/>
      <c r="I271" s="235"/>
      <c r="J271" s="235"/>
      <c r="K271" s="235"/>
      <c r="L271" s="235"/>
      <c r="M271" s="235"/>
      <c r="N271" s="235"/>
      <c r="O271" s="235"/>
      <c r="P271" s="235"/>
    </row>
    <row r="272" spans="1:16" s="74" customFormat="1" ht="17.25" customHeight="1">
      <c r="A272" s="210"/>
      <c r="B272" s="210"/>
      <c r="C272" s="210"/>
      <c r="D272" s="210"/>
      <c r="E272" s="210"/>
      <c r="F272" s="550" t="s">
        <v>5</v>
      </c>
      <c r="G272" s="550"/>
      <c r="H272" s="550"/>
      <c r="I272" s="210"/>
      <c r="J272" s="550" t="s">
        <v>254</v>
      </c>
      <c r="K272" s="550"/>
      <c r="L272" s="550"/>
      <c r="M272" s="210"/>
      <c r="N272" s="479" t="s">
        <v>20</v>
      </c>
      <c r="O272" s="454"/>
      <c r="P272" s="384"/>
    </row>
    <row r="273" spans="1:18" s="74" customFormat="1" ht="11.45" customHeight="1">
      <c r="A273" s="210"/>
      <c r="B273" s="210"/>
      <c r="C273" s="210"/>
      <c r="D273" s="210"/>
      <c r="E273" s="210"/>
      <c r="F273" s="549" t="s">
        <v>249</v>
      </c>
      <c r="G273" s="549"/>
      <c r="H273" s="549"/>
      <c r="I273" s="210"/>
      <c r="J273" s="549" t="s">
        <v>249</v>
      </c>
      <c r="K273" s="549"/>
      <c r="L273" s="549"/>
      <c r="M273" s="210"/>
      <c r="N273" s="478" t="s">
        <v>1</v>
      </c>
      <c r="O273" s="455"/>
      <c r="P273" s="384"/>
    </row>
    <row r="274" spans="1:18" ht="11.45" customHeight="1">
      <c r="A274" s="226" t="s">
        <v>99</v>
      </c>
      <c r="B274" s="133"/>
      <c r="C274" s="133"/>
      <c r="D274" s="133"/>
      <c r="E274" s="130"/>
      <c r="F274" s="268">
        <v>2017</v>
      </c>
      <c r="G274" s="214"/>
      <c r="H274" s="215">
        <v>2016</v>
      </c>
      <c r="I274" s="130"/>
      <c r="J274" s="375">
        <v>2017</v>
      </c>
      <c r="K274" s="130"/>
      <c r="L274" s="375">
        <v>2016</v>
      </c>
      <c r="M274" s="130"/>
      <c r="N274" s="215">
        <v>2016</v>
      </c>
      <c r="O274" s="214"/>
      <c r="P274" s="394"/>
    </row>
    <row r="275" spans="1:18" s="459" customFormat="1" ht="16.5" customHeight="1">
      <c r="A275" s="456"/>
      <c r="B275" s="417" t="s">
        <v>208</v>
      </c>
      <c r="C275" s="413"/>
      <c r="D275" s="415"/>
      <c r="E275" s="413">
        <v>16.7</v>
      </c>
      <c r="F275" s="418">
        <f>+'IS &amp; OCI'!F17</f>
        <v>-113.33109100000001</v>
      </c>
      <c r="G275" s="418">
        <v>-67.900000000000006</v>
      </c>
      <c r="H275" s="419">
        <f>+'IS &amp; OCI'!H17</f>
        <v>-11.500000000000005</v>
      </c>
      <c r="I275" s="419">
        <f t="shared" ref="I275:I279" si="0">F275-G275+H275</f>
        <v>-56.931091000000016</v>
      </c>
      <c r="J275" s="419">
        <f>+'IS &amp; OCI'!J17</f>
        <v>-224.3370909999999</v>
      </c>
      <c r="K275" s="419"/>
      <c r="L275" s="419">
        <f>+'IS &amp; OCI'!L17</f>
        <v>-87.799999999999926</v>
      </c>
      <c r="M275" s="419"/>
      <c r="N275" s="419">
        <v>-180.3</v>
      </c>
      <c r="O275" s="457"/>
      <c r="P275" s="458"/>
    </row>
    <row r="276" spans="1:18" s="459" customFormat="1" ht="11.25" customHeight="1">
      <c r="B276" s="160" t="s">
        <v>222</v>
      </c>
      <c r="C276" s="413"/>
      <c r="D276" s="415"/>
      <c r="E276" s="413">
        <v>-0.7</v>
      </c>
      <c r="F276" s="413">
        <f>-'IS &amp; OCI'!F15</f>
        <v>12.706</v>
      </c>
      <c r="G276" s="413">
        <v>7.4</v>
      </c>
      <c r="H276" s="414">
        <f>-'IS &amp; OCI'!H15</f>
        <v>-3.1</v>
      </c>
      <c r="I276" s="414">
        <f t="shared" si="0"/>
        <v>2.2059999999999991</v>
      </c>
      <c r="J276" s="414">
        <f>-'IS &amp; OCI'!J15</f>
        <v>18.112000000000002</v>
      </c>
      <c r="K276" s="414"/>
      <c r="L276" s="414">
        <f>-'IS &amp; OCI'!L15</f>
        <v>2.5</v>
      </c>
      <c r="M276" s="414"/>
      <c r="N276" s="414">
        <v>0.6</v>
      </c>
      <c r="P276" s="461"/>
    </row>
    <row r="277" spans="1:18" s="459" customFormat="1" ht="11.25" customHeight="1">
      <c r="B277" s="160" t="s">
        <v>215</v>
      </c>
      <c r="C277" s="413"/>
      <c r="D277" s="415"/>
      <c r="E277" s="413"/>
      <c r="F277" s="528">
        <f>-'IS &amp; OCI'!F12</f>
        <v>153.63887099999999</v>
      </c>
      <c r="G277" s="528"/>
      <c r="H277" s="528">
        <f>-'IS &amp; OCI'!H12</f>
        <v>95.4</v>
      </c>
      <c r="I277" s="528"/>
      <c r="J277" s="528">
        <f>-'IS &amp; OCI'!J12</f>
        <v>304.73887100000002</v>
      </c>
      <c r="K277" s="528"/>
      <c r="L277" s="528">
        <f>-'IS &amp; OCI'!L12</f>
        <v>226.4</v>
      </c>
      <c r="M277" s="414"/>
      <c r="N277" s="414">
        <v>323.89999999999998</v>
      </c>
      <c r="P277" s="461"/>
    </row>
    <row r="278" spans="1:18" s="459" customFormat="1" ht="11.25" customHeight="1">
      <c r="B278" s="160" t="s">
        <v>213</v>
      </c>
      <c r="C278" s="413"/>
      <c r="D278" s="415"/>
      <c r="E278" s="415">
        <v>525.4</v>
      </c>
      <c r="F278" s="529">
        <f>-'IS &amp; OCI'!F13</f>
        <v>27.078999999999997</v>
      </c>
      <c r="G278" s="529">
        <v>223.1</v>
      </c>
      <c r="H278" s="528">
        <f>-'IS &amp; OCI'!H13</f>
        <v>31.9</v>
      </c>
      <c r="I278" s="528">
        <f>F278-G278+H278</f>
        <v>-164.12099999999998</v>
      </c>
      <c r="J278" s="528">
        <f>-'IS &amp; OCI'!J13</f>
        <v>114.479</v>
      </c>
      <c r="K278" s="528"/>
      <c r="L278" s="528">
        <f>-'IS &amp; OCI'!L13</f>
        <v>115</v>
      </c>
      <c r="M278" s="414"/>
      <c r="N278" s="414">
        <v>157</v>
      </c>
      <c r="P278" s="461"/>
    </row>
    <row r="279" spans="1:18" s="459" customFormat="1" ht="11.25" customHeight="1">
      <c r="B279" s="160" t="s">
        <v>214</v>
      </c>
      <c r="C279" s="413"/>
      <c r="D279" s="415"/>
      <c r="E279" s="413">
        <v>73.8</v>
      </c>
      <c r="F279" s="528">
        <f>-'IS &amp; OCI'!F14</f>
        <v>28.47222</v>
      </c>
      <c r="G279" s="528">
        <v>56.9</v>
      </c>
      <c r="H279" s="528">
        <f>-'IS &amp; OCI'!H14</f>
        <v>0</v>
      </c>
      <c r="I279" s="528">
        <f t="shared" si="0"/>
        <v>-28.427779999999998</v>
      </c>
      <c r="J279" s="528">
        <f>-'IS &amp; OCI'!J14</f>
        <v>38.372219999999999</v>
      </c>
      <c r="K279" s="528"/>
      <c r="L279" s="528">
        <f>-'IS &amp; OCI'!L14</f>
        <v>4.2</v>
      </c>
      <c r="M279" s="414"/>
      <c r="N279" s="414">
        <v>12</v>
      </c>
      <c r="P279" s="461"/>
      <c r="Q279" s="460"/>
      <c r="R279" s="460"/>
    </row>
    <row r="280" spans="1:18" ht="12" customHeight="1">
      <c r="A280" s="411"/>
      <c r="B280" s="412" t="s">
        <v>207</v>
      </c>
      <c r="C280" s="412"/>
      <c r="D280" s="412"/>
      <c r="E280" s="410">
        <f>SUM(E275:E279)</f>
        <v>615.19999999999993</v>
      </c>
      <c r="F280" s="530">
        <f>SUM(F275:F279)</f>
        <v>108.56499999999997</v>
      </c>
      <c r="G280" s="531">
        <f>SUM(G275:G279)</f>
        <v>219.5</v>
      </c>
      <c r="H280" s="530">
        <f>SUM(H275:H279)</f>
        <v>112.69999999999999</v>
      </c>
      <c r="I280" s="532" t="s">
        <v>0</v>
      </c>
      <c r="J280" s="530">
        <f>SUM(J275:J279)-0.1</f>
        <v>251.2650000000001</v>
      </c>
      <c r="K280" s="532"/>
      <c r="L280" s="530">
        <f>SUM(L275:L279)-0.1</f>
        <v>260.20000000000005</v>
      </c>
      <c r="M280" s="417"/>
      <c r="N280" s="416">
        <f>SUM(N275:N279)+0.1</f>
        <v>313.29999999999995</v>
      </c>
      <c r="Q280" s="48"/>
    </row>
    <row r="281" spans="1:18" ht="13.5" thickBot="1">
      <c r="A281" s="472"/>
      <c r="B281" s="472"/>
      <c r="C281" s="472"/>
      <c r="D281" s="472"/>
      <c r="E281" s="472"/>
      <c r="F281" s="533"/>
      <c r="G281" s="364"/>
      <c r="H281" s="364"/>
      <c r="I281" s="533"/>
      <c r="J281" s="533"/>
      <c r="K281" s="533"/>
      <c r="L281" s="533"/>
      <c r="M281" s="472"/>
    </row>
    <row r="282" spans="1:18" s="74" customFormat="1" ht="15" customHeight="1">
      <c r="A282" s="210"/>
      <c r="B282" s="210"/>
      <c r="C282" s="210"/>
      <c r="D282" s="210"/>
      <c r="E282" s="210"/>
      <c r="F282" s="551" t="s">
        <v>5</v>
      </c>
      <c r="G282" s="552"/>
      <c r="H282" s="552"/>
      <c r="I282" s="332"/>
      <c r="J282" s="552" t="s">
        <v>254</v>
      </c>
      <c r="K282" s="552"/>
      <c r="L282" s="552"/>
      <c r="M282" s="210"/>
      <c r="N282" s="479" t="s">
        <v>20</v>
      </c>
      <c r="O282" s="467"/>
      <c r="P282" s="469"/>
    </row>
    <row r="283" spans="1:18" s="74" customFormat="1" ht="11.45" customHeight="1">
      <c r="A283" s="210"/>
      <c r="B283" s="210"/>
      <c r="C283" s="210"/>
      <c r="D283" s="210"/>
      <c r="E283" s="210"/>
      <c r="F283" s="548" t="s">
        <v>249</v>
      </c>
      <c r="G283" s="548"/>
      <c r="H283" s="548"/>
      <c r="I283" s="332"/>
      <c r="J283" s="548" t="s">
        <v>249</v>
      </c>
      <c r="K283" s="548"/>
      <c r="L283" s="548"/>
      <c r="M283" s="210"/>
      <c r="N283" s="478" t="s">
        <v>1</v>
      </c>
      <c r="O283" s="468"/>
      <c r="P283" s="469"/>
    </row>
    <row r="284" spans="1:18" ht="11.45" customHeight="1">
      <c r="A284" s="226" t="s">
        <v>99</v>
      </c>
      <c r="B284" s="133"/>
      <c r="C284" s="133"/>
      <c r="D284" s="133"/>
      <c r="E284" s="130"/>
      <c r="F284" s="534">
        <v>2017</v>
      </c>
      <c r="G284" s="535"/>
      <c r="H284" s="536">
        <v>2016</v>
      </c>
      <c r="I284" s="252"/>
      <c r="J284" s="537">
        <v>2017</v>
      </c>
      <c r="K284" s="252"/>
      <c r="L284" s="537">
        <v>2016</v>
      </c>
      <c r="M284" s="130"/>
      <c r="N284" s="215">
        <v>2016</v>
      </c>
      <c r="O284" s="214"/>
      <c r="P284" s="394"/>
    </row>
    <row r="285" spans="1:18" s="459" customFormat="1" ht="15" customHeight="1">
      <c r="A285" s="456"/>
      <c r="B285" s="417" t="s">
        <v>208</v>
      </c>
      <c r="C285" s="413"/>
      <c r="D285" s="415"/>
      <c r="E285" s="413">
        <v>16.7</v>
      </c>
      <c r="F285" s="538">
        <f>'IS &amp; OCI'!F17</f>
        <v>-113.33109100000001</v>
      </c>
      <c r="G285" s="538">
        <v>-67.900000000000006</v>
      </c>
      <c r="H285" s="538">
        <f>'IS &amp; OCI'!H17</f>
        <v>-11.500000000000005</v>
      </c>
      <c r="I285" s="538">
        <f t="shared" ref="I285:I286" si="1">F285-G285+H285</f>
        <v>-56.931091000000016</v>
      </c>
      <c r="J285" s="538">
        <f>+'IS &amp; OCI'!J17</f>
        <v>-224.3370909999999</v>
      </c>
      <c r="K285" s="538"/>
      <c r="L285" s="538">
        <f>+'IS &amp; OCI'!L17</f>
        <v>-87.799999999999926</v>
      </c>
      <c r="M285" s="419"/>
      <c r="N285" s="418">
        <f>'IS &amp; OCI'!N17</f>
        <v>-180.30000000000007</v>
      </c>
      <c r="O285" s="457"/>
      <c r="P285" s="458"/>
    </row>
    <row r="286" spans="1:18" s="459" customFormat="1" ht="11.25" customHeight="1">
      <c r="B286" s="160" t="s">
        <v>222</v>
      </c>
      <c r="C286" s="413"/>
      <c r="D286" s="415"/>
      <c r="E286" s="413">
        <v>-0.7</v>
      </c>
      <c r="F286" s="528">
        <f>-'IS &amp; OCI'!F15</f>
        <v>12.706</v>
      </c>
      <c r="G286" s="528">
        <v>7.4</v>
      </c>
      <c r="H286" s="528">
        <f>-'IS &amp; OCI'!H15</f>
        <v>-3.1</v>
      </c>
      <c r="I286" s="528">
        <f t="shared" si="1"/>
        <v>2.2059999999999991</v>
      </c>
      <c r="J286" s="528">
        <f>-'IS &amp; OCI'!J15</f>
        <v>18.112000000000002</v>
      </c>
      <c r="K286" s="528"/>
      <c r="L286" s="528">
        <f>-'IS &amp; OCI'!L15</f>
        <v>2.5</v>
      </c>
      <c r="M286" s="414"/>
      <c r="N286" s="413">
        <f>-'IS &amp; OCI'!N15</f>
        <v>0.6</v>
      </c>
      <c r="P286" s="461"/>
    </row>
    <row r="287" spans="1:18" s="459" customFormat="1" ht="11.25" customHeight="1">
      <c r="B287" s="160" t="s">
        <v>210</v>
      </c>
      <c r="C287" s="413"/>
      <c r="D287" s="415"/>
      <c r="E287" s="413"/>
      <c r="F287" s="528">
        <f>-F192</f>
        <v>41.735871000000003</v>
      </c>
      <c r="G287" s="528"/>
      <c r="H287" s="528">
        <f>-H192</f>
        <v>9.1999999999999993</v>
      </c>
      <c r="I287" s="528"/>
      <c r="J287" s="528">
        <f>-J192</f>
        <v>45.235871000000003</v>
      </c>
      <c r="K287" s="528"/>
      <c r="L287" s="528">
        <f>-L192</f>
        <v>9.1999999999999993</v>
      </c>
      <c r="M287" s="414"/>
      <c r="N287" s="413">
        <f>-N192</f>
        <v>30.1</v>
      </c>
      <c r="P287" s="461"/>
    </row>
    <row r="288" spans="1:18" s="459" customFormat="1" ht="11.25" customHeight="1">
      <c r="B288" s="160" t="s">
        <v>214</v>
      </c>
      <c r="C288" s="413"/>
      <c r="D288" s="415"/>
      <c r="E288" s="413">
        <v>73.8</v>
      </c>
      <c r="F288" s="528">
        <f>-'IS &amp; OCI'!F14</f>
        <v>28.47222</v>
      </c>
      <c r="G288" s="528">
        <v>56.9</v>
      </c>
      <c r="H288" s="528">
        <f>-'IS &amp; OCI'!H14</f>
        <v>0</v>
      </c>
      <c r="I288" s="528">
        <f t="shared" ref="I288" si="2">F288-G288+H288</f>
        <v>-28.427779999999998</v>
      </c>
      <c r="J288" s="528">
        <f>-'IS &amp; OCI'!J14</f>
        <v>38.372219999999999</v>
      </c>
      <c r="K288" s="528"/>
      <c r="L288" s="528">
        <f>-'IS &amp; OCI'!L14</f>
        <v>4.2</v>
      </c>
      <c r="M288" s="414"/>
      <c r="N288" s="413">
        <f>-'IS &amp; OCI'!N14</f>
        <v>12</v>
      </c>
      <c r="P288" s="461"/>
    </row>
    <row r="289" spans="1:14" ht="12" customHeight="1">
      <c r="A289" s="411"/>
      <c r="B289" s="412" t="s">
        <v>223</v>
      </c>
      <c r="C289" s="412"/>
      <c r="D289" s="412"/>
      <c r="E289" s="410">
        <f>SUM(E285:E288)</f>
        <v>89.8</v>
      </c>
      <c r="F289" s="530">
        <f>SUM(F285:F288)</f>
        <v>-30.417000000000009</v>
      </c>
      <c r="G289" s="531">
        <f>SUM(G285:G288)</f>
        <v>-3.6000000000000085</v>
      </c>
      <c r="H289" s="530">
        <f>SUM(H285:H288)</f>
        <v>-5.4000000000000057</v>
      </c>
      <c r="I289" s="532" t="s">
        <v>0</v>
      </c>
      <c r="J289" s="530">
        <f>SUM(J285:J288)</f>
        <v>-122.6169999999999</v>
      </c>
      <c r="K289" s="532"/>
      <c r="L289" s="530">
        <f>SUM(L285:L288)</f>
        <v>-71.89999999999992</v>
      </c>
      <c r="M289" s="417"/>
      <c r="N289" s="416">
        <f>SUM(N285:N288)+0.1</f>
        <v>-137.50000000000009</v>
      </c>
    </row>
    <row r="290" spans="1:14">
      <c r="F290" s="364"/>
      <c r="G290" s="364"/>
      <c r="H290" s="364"/>
      <c r="I290" s="364"/>
      <c r="J290" s="364"/>
      <c r="K290" s="364"/>
      <c r="L290" s="364"/>
    </row>
  </sheetData>
  <mergeCells count="46">
    <mergeCell ref="J240:L240"/>
    <mergeCell ref="J241:L241"/>
    <mergeCell ref="J252:L252"/>
    <mergeCell ref="J253:L253"/>
    <mergeCell ref="F149:H149"/>
    <mergeCell ref="F240:H240"/>
    <mergeCell ref="F241:H241"/>
    <mergeCell ref="F180:H180"/>
    <mergeCell ref="F181:H181"/>
    <mergeCell ref="F124:H124"/>
    <mergeCell ref="F136:H136"/>
    <mergeCell ref="F85:H85"/>
    <mergeCell ref="F86:H86"/>
    <mergeCell ref="F123:H123"/>
    <mergeCell ref="J273:L273"/>
    <mergeCell ref="J282:L282"/>
    <mergeCell ref="F6:H6"/>
    <mergeCell ref="F7:H7"/>
    <mergeCell ref="F27:H27"/>
    <mergeCell ref="F28:H28"/>
    <mergeCell ref="F111:H111"/>
    <mergeCell ref="F95:H95"/>
    <mergeCell ref="F96:H96"/>
    <mergeCell ref="F77:H77"/>
    <mergeCell ref="F39:H39"/>
    <mergeCell ref="F40:H40"/>
    <mergeCell ref="F51:H51"/>
    <mergeCell ref="F52:H52"/>
    <mergeCell ref="F76:H76"/>
    <mergeCell ref="F67:H67"/>
    <mergeCell ref="J283:L283"/>
    <mergeCell ref="F68:H68"/>
    <mergeCell ref="F110:H110"/>
    <mergeCell ref="F282:H282"/>
    <mergeCell ref="F283:H283"/>
    <mergeCell ref="F165:H165"/>
    <mergeCell ref="F225:H225"/>
    <mergeCell ref="F198:H198"/>
    <mergeCell ref="F214:H214"/>
    <mergeCell ref="F272:H272"/>
    <mergeCell ref="F273:H273"/>
    <mergeCell ref="F252:H252"/>
    <mergeCell ref="F253:H253"/>
    <mergeCell ref="F137:H137"/>
    <mergeCell ref="F148:H148"/>
    <mergeCell ref="J272:L272"/>
  </mergeCells>
  <printOptions horizontalCentered="1"/>
  <pageMargins left="0.19685039370078741" right="0.11811023622047245" top="0.39370078740157483" bottom="0.51181102362204722" header="0.31496062992125984" footer="0.23622047244094491"/>
  <pageSetup paperSize="9" scale="64" fitToHeight="3" orientation="portrait" r:id="rId1"/>
  <headerFooter alignWithMargins="0"/>
  <rowBreaks count="2" manualBreakCount="2">
    <brk id="93" max="12" man="1"/>
    <brk id="194" max="12" man="1"/>
  </rowBreaks>
  <ignoredErrors>
    <ignoredError sqref="F73 J174 N280 G174 I174 L73 L10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nsol and Ext Rep" ma:contentTypeID="0x01010055188D6E94B07B4D9A15F0291BA7324E0800517DEB065F01BE48B516C5493430EA9C" ma:contentTypeVersion="6" ma:contentTypeDescription="" ma:contentTypeScope="" ma:versionID="7f486fd98a17def95e6521ee5df06ad6">
  <xsd:schema xmlns:xsd="http://www.w3.org/2001/XMLSchema" xmlns:xs="http://www.w3.org/2001/XMLSchema" xmlns:p="http://schemas.microsoft.com/office/2006/metadata/properties" xmlns:ns2="0c51a168-f9b1-4000-a552-b6e26a8e1726" xmlns:ns3="4103f08a-e8f5-4215-a214-f51e08230946" xmlns:ns4="f4ac41ce-b2d5-4726-9417-946f8435fa6d" targetNamespace="http://schemas.microsoft.com/office/2006/metadata/properties" ma:root="true" ma:fieldsID="9a341445d243df8e82865dc33c918f94" ns2:_="" ns3:_="" ns4:_="">
    <xsd:import namespace="0c51a168-f9b1-4000-a552-b6e26a8e1726"/>
    <xsd:import namespace="4103f08a-e8f5-4215-a214-f51e08230946"/>
    <xsd:import namespace="f4ac41ce-b2d5-4726-9417-946f8435fa6d"/>
    <xsd:element name="properties">
      <xsd:complexType>
        <xsd:sequence>
          <xsd:element name="documentManagement">
            <xsd:complexType>
              <xsd:all>
                <xsd:element ref="ns3:KeyControl" minOccurs="0"/>
                <xsd:element ref="ns2:TaxCatchAll" minOccurs="0"/>
                <xsd:element ref="ns2:TaxCatchAllLabel" minOccurs="0"/>
                <xsd:element ref="ns2:k6b245d636cd46a7b03f10e9bce6ea8c" minOccurs="0"/>
                <xsd:element ref="ns3:ContentTypeOriginal" minOccurs="0"/>
                <xsd:element ref="ns2:GovArchiveStatus" minOccurs="0"/>
                <xsd:element ref="ns3:YearQuarter" minOccurs="0"/>
                <xsd:element ref="ns4:Consol_x0020_Ext_x0020_rep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51a168-f9b1-4000-a552-b6e26a8e1726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717c789-8cb6-44fc-a762-31d4eaaf9c57}" ma:internalName="TaxCatchAll" ma:showField="CatchAllData" ma:web="4103f08a-e8f5-4215-a214-f51e082309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717c789-8cb6-44fc-a762-31d4eaaf9c57}" ma:internalName="TaxCatchAllLabel" ma:readOnly="true" ma:showField="CatchAllDataLabel" ma:web="4103f08a-e8f5-4215-a214-f51e082309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6b245d636cd46a7b03f10e9bce6ea8c" ma:index="11" nillable="true" ma:taxonomy="true" ma:internalName="k6b245d636cd46a7b03f10e9bce6ea8c" ma:taxonomyFieldName="GovLECodeName" ma:displayName="LE Code Name" ma:default="" ma:fieldId="{46b245d6-36cd-46a7-b03f-10e9bce6ea8c}" ma:sspId="69ca02a8-2a75-4699-91fa-c3d3c2947d00" ma:termSetId="9dde328e-4c78-4ae6-bbf3-1392f8531e4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ovArchiveStatus" ma:index="14" nillable="true" ma:displayName="Gov Archive Status" ma:internalName="GovArchiveStatus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3f08a-e8f5-4215-a214-f51e08230946" elementFormDefault="qualified">
    <xsd:import namespace="http://schemas.microsoft.com/office/2006/documentManagement/types"/>
    <xsd:import namespace="http://schemas.microsoft.com/office/infopath/2007/PartnerControls"/>
    <xsd:element name="KeyControl" ma:index="3" nillable="true" ma:displayName="Key Control" ma:default="(none)" ma:format="Dropdown" ma:internalName="KeyControl">
      <xsd:simpleType>
        <xsd:restriction base="dms:Choice">
          <xsd:enumeration value="(none)"/>
          <xsd:enumeration value="C CON-01a"/>
          <xsd:enumeration value="C CON-01b"/>
          <xsd:enumeration value="C CON-03"/>
          <xsd:enumeration value="C CON-07"/>
          <xsd:enumeration value="C EA-01"/>
          <xsd:enumeration value="C EA-02"/>
          <xsd:enumeration value="C EA-03"/>
          <xsd:enumeration value="C ER-01a"/>
          <xsd:enumeration value="C ER-01b"/>
          <xsd:enumeration value="C ER-02"/>
          <xsd:enumeration value="C ER-03"/>
          <xsd:enumeration value="C ER-04"/>
          <xsd:enumeration value="C ER-05"/>
          <xsd:enumeration value="C FA-01a"/>
          <xsd:enumeration value="C FA-01b"/>
          <xsd:enumeration value="C FA-02a"/>
          <xsd:enumeration value="C FA-02b"/>
          <xsd:enumeration value="C FA-04a"/>
          <xsd:enumeration value="C FA-04b"/>
          <xsd:enumeration value="C FA-05"/>
          <xsd:enumeration value="C FA-06"/>
          <xsd:enumeration value="C FA-07a"/>
          <xsd:enumeration value="C FA-07b"/>
          <xsd:enumeration value="C FA-08"/>
          <xsd:enumeration value="C FA-09a"/>
          <xsd:enumeration value="C FA-09b"/>
          <xsd:enumeration value="C FA-10a"/>
          <xsd:enumeration value="C FA-11a"/>
          <xsd:enumeration value="C FA-11b"/>
          <xsd:enumeration value="C FA-12"/>
          <xsd:enumeration value="C FA-13"/>
          <xsd:enumeration value="C FA-14"/>
          <xsd:enumeration value="C FA-15"/>
          <xsd:enumeration value="C IA-01"/>
          <xsd:enumeration value="C IA-04"/>
          <xsd:enumeration value="C IA-05"/>
          <xsd:enumeration value="C IA-07"/>
          <xsd:enumeration value="C IA-10"/>
          <xsd:enumeration value="C IA-11a"/>
          <xsd:enumeration value="C IA-11b"/>
          <xsd:enumeration value="C IC - 03"/>
          <xsd:enumeration value="C IC-01"/>
          <xsd:enumeration value="C IC-02"/>
          <xsd:enumeration value="C IC-04a"/>
          <xsd:enumeration value="C IC-04b"/>
          <xsd:enumeration value="C IC-04c"/>
          <xsd:enumeration value="C IC-07a"/>
          <xsd:enumeration value="C IC-07b"/>
          <xsd:enumeration value="C IC-07c"/>
          <xsd:enumeration value="C IC-08"/>
          <xsd:enumeration value="C IC-09"/>
          <xsd:enumeration value="C IC-11"/>
          <xsd:enumeration value="C IT-01"/>
          <xsd:enumeration value="C IT-02a"/>
          <xsd:enumeration value="C IT-02b"/>
          <xsd:enumeration value="C IT-02c"/>
          <xsd:enumeration value="C IT-03a"/>
          <xsd:enumeration value="C IT-03b"/>
          <xsd:enumeration value="C IT-04"/>
          <xsd:enumeration value="C IT-05"/>
          <xsd:enumeration value="C IT-06"/>
          <xsd:enumeration value="C MC-01"/>
          <xsd:enumeration value="C MC-02"/>
          <xsd:enumeration value="C MC-03"/>
          <xsd:enumeration value="C MC-04"/>
          <xsd:enumeration value="C MC-05a"/>
          <xsd:enumeration value="C MC-05b"/>
          <xsd:enumeration value="C MC-05c"/>
          <xsd:enumeration value="C MC-06"/>
          <xsd:enumeration value="C MC-07"/>
          <xsd:enumeration value="C MC-08a"/>
          <xsd:enumeration value="C MC-08b"/>
          <xsd:enumeration value="C P-01"/>
          <xsd:enumeration value="C P-03"/>
          <xsd:enumeration value="C P-04a"/>
          <xsd:enumeration value="C P-04b"/>
          <xsd:enumeration value="C P-05"/>
          <xsd:enumeration value="C P-07"/>
          <xsd:enumeration value="C P-09"/>
          <xsd:enumeration value="C P-10a"/>
          <xsd:enumeration value="C P-10b"/>
          <xsd:enumeration value="C P-11"/>
          <xsd:enumeration value="C P-12a"/>
          <xsd:enumeration value="C P-12b"/>
          <xsd:enumeration value="C P-14"/>
          <xsd:enumeration value="C P-15"/>
          <xsd:enumeration value="C P-17"/>
          <xsd:enumeration value="C P-18"/>
          <xsd:enumeration value="C P-21"/>
          <xsd:enumeration value="C P-22"/>
          <xsd:enumeration value="C P-24"/>
          <xsd:enumeration value="C P-25a"/>
          <xsd:enumeration value="C P-25b"/>
          <xsd:enumeration value="C P-26"/>
          <xsd:enumeration value="C P-27"/>
          <xsd:enumeration value="C P-28"/>
          <xsd:enumeration value="C P-29"/>
          <xsd:enumeration value="C PR-01"/>
          <xsd:enumeration value="C PR-02"/>
          <xsd:enumeration value="C PR-03"/>
          <xsd:enumeration value="C PR-04"/>
          <xsd:enumeration value="C PR-05"/>
          <xsd:enumeration value="C PR-07"/>
          <xsd:enumeration value="C PR-08"/>
          <xsd:enumeration value="C PR-09"/>
          <xsd:enumeration value="C PR-10"/>
          <xsd:enumeration value="C PR-12"/>
          <xsd:enumeration value="C PR-13"/>
          <xsd:enumeration value="C PR-14"/>
          <xsd:enumeration value="C PR-16"/>
          <xsd:enumeration value="C PR-19"/>
          <xsd:enumeration value="C PS-01"/>
          <xsd:enumeration value="C PS-02"/>
          <xsd:enumeration value="C S-01"/>
          <xsd:enumeration value="C S-02"/>
          <xsd:enumeration value="C S-03"/>
          <xsd:enumeration value="C S-04"/>
          <xsd:enumeration value="C S-05"/>
          <xsd:enumeration value="C S-06"/>
          <xsd:enumeration value="C S-07"/>
          <xsd:enumeration value="C S-08"/>
          <xsd:enumeration value="C S-09"/>
          <xsd:enumeration value="C S-10"/>
          <xsd:enumeration value="C S-12a"/>
          <xsd:enumeration value="C S-12b"/>
          <xsd:enumeration value="C S-13a"/>
          <xsd:enumeration value="C S-13b"/>
          <xsd:enumeration value="C S-13c"/>
          <xsd:enumeration value="C S-13d"/>
          <xsd:enumeration value="C S-13e"/>
          <xsd:enumeration value="C S-14a"/>
          <xsd:enumeration value="C S-14b"/>
          <xsd:enumeration value="C S-15"/>
          <xsd:enumeration value="C S-17"/>
          <xsd:enumeration value="C S-19"/>
          <xsd:enumeration value="C S-22"/>
          <xsd:enumeration value="C S-23a"/>
          <xsd:enumeration value="C S-23b"/>
          <xsd:enumeration value="C S-23c"/>
          <xsd:enumeration value="C SI-01"/>
          <xsd:enumeration value="C SI-02"/>
          <xsd:enumeration value="C SI-03"/>
          <xsd:enumeration value="C SI-04"/>
          <xsd:enumeration value="C SI-05"/>
          <xsd:enumeration value="C SI-06"/>
          <xsd:enumeration value="C SI-07"/>
          <xsd:enumeration value="C SR-01"/>
          <xsd:enumeration value="C SR-02"/>
          <xsd:enumeration value="C SR-03"/>
          <xsd:enumeration value="C SR-05"/>
          <xsd:enumeration value="C TA-01"/>
          <xsd:enumeration value="C TA-03"/>
          <xsd:enumeration value="C TA-05"/>
          <xsd:enumeration value="C TA-07"/>
          <xsd:enumeration value="C TA-08"/>
          <xsd:enumeration value="C TR-01a"/>
          <xsd:enumeration value="C TR-01b"/>
          <xsd:enumeration value="C TR-02a"/>
          <xsd:enumeration value="C TR-02b"/>
          <xsd:enumeration value="C TR-03"/>
          <xsd:enumeration value="C TR-04"/>
          <xsd:enumeration value="C TR-05a"/>
          <xsd:enumeration value="C TR-05b"/>
          <xsd:enumeration value="C TR-06"/>
          <xsd:enumeration value="C TX-01"/>
          <xsd:enumeration value="C TX-02"/>
          <xsd:enumeration value="C TX-03"/>
          <xsd:enumeration value="C TX-04"/>
          <xsd:enumeration value="C TX-05"/>
          <xsd:enumeration value="C TX-07"/>
          <xsd:enumeration value="CP IT-02d"/>
        </xsd:restriction>
      </xsd:simpleType>
    </xsd:element>
    <xsd:element name="ContentTypeOriginal" ma:index="13" nillable="true" ma:displayName="ContentTypeOriginal" ma:format="Dropdown" ma:internalName="ContentTypeOriginal">
      <xsd:simpleType>
        <xsd:restriction base="dms:Choice">
          <xsd:enumeration value="Accounting Issue List"/>
          <xsd:enumeration value="Accounting Issue Memo"/>
          <xsd:enumeration value="Audit Committee"/>
          <xsd:enumeration value="Earnings Release"/>
          <xsd:enumeration value="ER Supporting Documents"/>
          <xsd:enumeration value="Group Calculation and Reconciliation"/>
          <xsd:enumeration value="Q-Pack 2 A Equity"/>
          <xsd:enumeration value="Q-Pack 2 B Cash Flow Information"/>
          <xsd:enumeration value="Q-Pack 4 Minimum Operational Lease Commmitments"/>
          <xsd:enumeration value="Q-Pack 5 A Subsequent Review BC  Checked"/>
          <xsd:enumeration value="Q-Pack Report Overview"/>
          <xsd:enumeration value="Reval"/>
          <xsd:enumeration value="Segment Reports"/>
          <xsd:enumeration value="Group EPS"/>
        </xsd:restriction>
      </xsd:simpleType>
    </xsd:element>
    <xsd:element name="YearQuarter" ma:index="15" nillable="true" ma:displayName="Year Quarter" ma:format="Dropdown" ma:internalName="YearQuarter">
      <xsd:simpleType>
        <xsd:restriction base="dms:Choice">
          <xsd:enumeration value="2015 Q4"/>
          <xsd:enumeration value="2016 Q1"/>
          <xsd:enumeration value="2016 Q2"/>
          <xsd:enumeration value="2016 Q3"/>
          <xsd:enumeration value="2016 Q4"/>
          <xsd:enumeration value="2017 Q1"/>
          <xsd:enumeration value="2017 Q2"/>
          <xsd:enumeration value="2017 Q3"/>
          <xsd:enumeration value="2017 Q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c41ce-b2d5-4726-9417-946f8435fa6d" elementFormDefault="qualified">
    <xsd:import namespace="http://schemas.microsoft.com/office/2006/documentManagement/types"/>
    <xsd:import namespace="http://schemas.microsoft.com/office/infopath/2007/PartnerControls"/>
    <xsd:element name="Consol_x0020_Ext_x0020_rep_x0020_status" ma:index="16" nillable="true" ma:displayName="Consol Ext rep status" ma:format="Dropdown" ma:internalName="Consol_x0020_Ext_x0020_rep_x0020_status">
      <xsd:simpleType>
        <xsd:restriction base="dms:Choice">
          <xsd:enumeration value="In progress"/>
          <xsd:enumeration value="Comple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TaxCatchAll xmlns="0c51a168-f9b1-4000-a552-b6e26a8e1726">
      <Value>13</Value>
    </TaxCatchAll>
    <KeyControl xmlns="4103f08a-e8f5-4215-a214-f51e08230946">(none)</KeyControl>
    <ContentTypeOriginal xmlns="4103f08a-e8f5-4215-a214-f51e08230946">Earnings Release</ContentTypeOriginal>
    <GovArchiveStatus xmlns="0c51a168-f9b1-4000-a552-b6e26a8e1726" xsi:nil="true"/>
    <k6b245d636cd46a7b03f10e9bce6ea8c xmlns="0c51a168-f9b1-4000-a552-b6e26a8e1726">
      <Terms xmlns="http://schemas.microsoft.com/office/infopath/2007/PartnerControls">
        <TermInfo xmlns="http://schemas.microsoft.com/office/infopath/2007/PartnerControls">
          <TermName>Financial Information</TermName>
          <TermId>d2246aff-850a-4851-9da0-77e915fead5e</TermId>
        </TermInfo>
      </Terms>
    </k6b245d636cd46a7b03f10e9bce6ea8c>
    <YearQuarter xmlns="4103f08a-e8f5-4215-a214-f51e08230946">2017 Q3</YearQuarter>
    <Consol_x0020_Ext_x0020_rep_x0020_status xmlns="f4ac41ce-b2d5-4726-9417-946f8435fa6d" xsi:nil="true"/>
  </documentManagement>
</p:properties>
</file>

<file path=customXml/itemProps1.xml><?xml version="1.0" encoding="utf-8"?>
<ds:datastoreItem xmlns:ds="http://schemas.openxmlformats.org/officeDocument/2006/customXml" ds:itemID="{07D61D80-790F-4CBC-A8F3-BDA96093E39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9645ECF-3664-409E-AEDF-3967171679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3FD31E-82C8-4D3B-9639-4E2F92FA3E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51a168-f9b1-4000-a552-b6e26a8e1726"/>
    <ds:schemaRef ds:uri="4103f08a-e8f5-4215-a214-f51e08230946"/>
    <ds:schemaRef ds:uri="f4ac41ce-b2d5-4726-9417-946f8435fa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D45D089-5F7E-4BD1-810E-21FFCF820613}">
  <ds:schemaRefs>
    <ds:schemaRef ds:uri="http://schemas.microsoft.com/office/2006/metadata/properties"/>
    <ds:schemaRef ds:uri="4103f08a-e8f5-4215-a214-f51e08230946"/>
    <ds:schemaRef ds:uri="f4ac41ce-b2d5-4726-9417-946f8435fa6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0c51a168-f9b1-4000-a552-b6e26a8e172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IS &amp; OCI</vt:lpstr>
      <vt:lpstr>BS</vt:lpstr>
      <vt:lpstr>CF</vt:lpstr>
      <vt:lpstr>Equity</vt:lpstr>
      <vt:lpstr>Notes</vt:lpstr>
      <vt:lpstr>BS!Print_Area</vt:lpstr>
      <vt:lpstr>CF!Print_Area</vt:lpstr>
      <vt:lpstr>Equity!Print_Area</vt:lpstr>
      <vt:lpstr>'IS &amp; OCI'!Print_Area</vt:lpstr>
      <vt:lpstr>Notes!Print_Area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Q2 2017 Earnings release financials tables</dc:title>
  <dc:creator>Vidar Gulliksen</dc:creator>
  <cp:lastModifiedBy>Bard Stenberg</cp:lastModifiedBy>
  <cp:lastPrinted>2017-10-18T09:45:45Z</cp:lastPrinted>
  <dcterms:created xsi:type="dcterms:W3CDTF">1997-04-22T19:06:36Z</dcterms:created>
  <dcterms:modified xsi:type="dcterms:W3CDTF">2017-10-25T10:51:08Z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ne">
    <vt:lpwstr>1</vt:lpwstr>
  </property>
  <property fmtid="{D5CDD505-2E9C-101B-9397-08002B2CF9AE}" pid="3" name="ContentType">
    <vt:lpwstr>Document</vt:lpwstr>
  </property>
  <property fmtid="{D5CDD505-2E9C-101B-9397-08002B2CF9AE}" pid="4" name="Copy document to Quarterly Reporting Q4 2009">
    <vt:lpwstr>1</vt:lpwstr>
  </property>
  <property fmtid="{D5CDD505-2E9C-101B-9397-08002B2CF9AE}" pid="5" name="ContentTypeId">
    <vt:lpwstr>0x01010055188D6E94B07B4D9A15F0291BA7324E0800517DEB065F01BE48B516C5493430EA9C</vt:lpwstr>
  </property>
  <property fmtid="{D5CDD505-2E9C-101B-9397-08002B2CF9AE}" pid="6" name="Approved by">
    <vt:lpwstr>Hilde Fauske453</vt:lpwstr>
  </property>
  <property fmtid="{D5CDD505-2E9C-101B-9397-08002B2CF9AE}" pid="7" name="Status">
    <vt:lpwstr>Completed September 2010</vt:lpwstr>
  </property>
  <property fmtid="{D5CDD505-2E9C-101B-9397-08002B2CF9AE}" pid="8" name="Send a copy to Q1 2010">
    <vt:lpwstr>false</vt:lpwstr>
  </property>
  <property fmtid="{D5CDD505-2E9C-101B-9397-08002B2CF9AE}" pid="9" name="Send a copy to Q2 2010">
    <vt:lpwstr>false</vt:lpwstr>
  </property>
  <property fmtid="{D5CDD505-2E9C-101B-9397-08002B2CF9AE}" pid="10" name="Archived">
    <vt:filetime>2011-05-05T05:10:58Z</vt:filetime>
  </property>
  <property fmtid="{D5CDD505-2E9C-101B-9397-08002B2CF9AE}" pid="11" name="ArchivedBy">
    <vt:lpwstr>263</vt:lpwstr>
  </property>
  <property fmtid="{D5CDD505-2E9C-101B-9397-08002B2CF9AE}" pid="12" name="ManGroupCodePeopleSoft">
    <vt:lpwstr>532</vt:lpwstr>
  </property>
  <property fmtid="{D5CDD505-2E9C-101B-9397-08002B2CF9AE}" pid="13" name="Supporting document">
    <vt:lpwstr>No</vt:lpwstr>
  </property>
  <property fmtid="{D5CDD505-2E9C-101B-9397-08002B2CF9AE}" pid="14" name="ArchiveStatus">
    <vt:lpwstr/>
  </property>
  <property fmtid="{D5CDD505-2E9C-101B-9397-08002B2CF9AE}" pid="15" name="ContetTypeOrginal">
    <vt:lpwstr>Earnings Release</vt:lpwstr>
  </property>
  <property fmtid="{D5CDD505-2E9C-101B-9397-08002B2CF9AE}" pid="16" name="CreatedByInFARO">
    <vt:lpwstr>Elke Heintzberger</vt:lpwstr>
  </property>
  <property fmtid="{D5CDD505-2E9C-101B-9397-08002B2CF9AE}" pid="17" name="SiteNameForDocument">
    <vt:lpwstr>Consolidation and External Reporting</vt:lpwstr>
  </property>
  <property fmtid="{D5CDD505-2E9C-101B-9397-08002B2CF9AE}" pid="18" name="WorkflowCreationPath">
    <vt:lpwstr>9ddecae9-647e-4647-8894-551073beb87c,6;9ddecae9-647e-4647-8894-551073beb87c,6;9ddecae9-647e-4647-8894-551073beb87c,6;9ddecae9-647e-4647-8894-551073beb87c,6;9ddecae9-647e-4647-8894-551073beb87c,6;23bd39fb-4e40-4d39-abb4-3b289b444fd2,2;23bd39fb-4e40-4d39-ab</vt:lpwstr>
  </property>
  <property fmtid="{D5CDD505-2E9C-101B-9397-08002B2CF9AE}" pid="19" name="ApprovedByInFARO">
    <vt:lpwstr>Vidar.Hasund@pgs.com</vt:lpwstr>
  </property>
  <property fmtid="{D5CDD505-2E9C-101B-9397-08002B2CF9AE}" pid="20" name="_dlc_policyId">
    <vt:lpwstr>0x0101001BA8192A63AC2947BE19EEE885D49368|-2145755995</vt:lpwstr>
  </property>
  <property fmtid="{D5CDD505-2E9C-101B-9397-08002B2CF9AE}" pid="21" name="ItemRetentionFormula">
    <vt:lpwstr/>
  </property>
  <property fmtid="{D5CDD505-2E9C-101B-9397-08002B2CF9AE}" pid="22" name="CopyOfBU">
    <vt:lpwstr/>
  </property>
  <property fmtid="{D5CDD505-2E9C-101B-9397-08002B2CF9AE}" pid="23" name="_dlc_LastRun">
    <vt:lpwstr>09/19/2015 23:34:26</vt:lpwstr>
  </property>
  <property fmtid="{D5CDD505-2E9C-101B-9397-08002B2CF9AE}" pid="24" name="BUTxt">
    <vt:lpwstr>All BUs</vt:lpwstr>
  </property>
  <property fmtid="{D5CDD505-2E9C-101B-9397-08002B2CF9AE}" pid="25" name="AccountNumberTxt">
    <vt:lpwstr/>
  </property>
  <property fmtid="{D5CDD505-2E9C-101B-9397-08002B2CF9AE}" pid="26" name="WorkflowChangePath">
    <vt:lpwstr>f2c5fd41-cb11-41d6-8dab-aa88d6afa477,248;f2c5fd41-cb11-41d6-8dab-aa88d6afa477,248;f2c5fd41-cb11-41d6-8dab-aa88d6afa477,248;f2c5fd41-cb11-41d6-8dab-aa88d6afa477,248;f2c5fd41-cb11-41d6-8dab-aa88d6afa477,248;f2c5fd41-cb11-41d6-8dab-aa88d6afa477,248;f2c5fd41-</vt:lpwstr>
  </property>
  <property fmtid="{D5CDD505-2E9C-101B-9397-08002B2CF9AE}" pid="27" name="BUNew">
    <vt:lpwstr>557;#</vt:lpwstr>
  </property>
  <property fmtid="{D5CDD505-2E9C-101B-9397-08002B2CF9AE}" pid="28" name="GovLECodeName">
    <vt:lpwstr>13;#Financial Information|d2246aff-850a-4851-9da0-77e915fead5e</vt:lpwstr>
  </property>
  <property fmtid="{D5CDD505-2E9C-101B-9397-08002B2CF9AE}" pid="29" name="_dlc_ItemStageId">
    <vt:lpwstr>1</vt:lpwstr>
  </property>
  <property fmtid="{D5CDD505-2E9C-101B-9397-08002B2CF9AE}" pid="30" name="SV_QUERY_LIST_4F35BF76-6C0D-4D9B-82B2-816C12CF3733">
    <vt:lpwstr>empty_477D106A-C0D6-4607-AEBD-E2C9D60EA279</vt:lpwstr>
  </property>
  <property fmtid="{D5CDD505-2E9C-101B-9397-08002B2CF9AE}" pid="31" name="k3e548813fe040acb5b9e37f5bdc1d80">
    <vt:lpwstr>Financial Information|d2246aff-850a-4851-9da0-77e915fead5e</vt:lpwstr>
  </property>
  <property fmtid="{D5CDD505-2E9C-101B-9397-08002B2CF9AE}" pid="32" name="Order">
    <vt:r8>250300</vt:r8>
  </property>
  <property fmtid="{D5CDD505-2E9C-101B-9397-08002B2CF9AE}" pid="33" name="xd_ProgID">
    <vt:lpwstr/>
  </property>
  <property fmtid="{D5CDD505-2E9C-101B-9397-08002B2CF9AE}" pid="34" name="TemplateUrl">
    <vt:lpwstr/>
  </property>
  <property fmtid="{D5CDD505-2E9C-101B-9397-08002B2CF9AE}" pid="35" name="SV_HIDDEN_GRID_QUERY_LIST_4F35BF76-6C0D-4D9B-82B2-816C12CF3733">
    <vt:lpwstr>empty_477D106A-C0D6-4607-AEBD-E2C9D60EA279</vt:lpwstr>
  </property>
</Properties>
</file>