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20505" windowHeight="6990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BS!$A$1:$K$40</definedName>
    <definedName name="_xlnm.Print_Area" localSheetId="2">CF!$A$1:$M$37</definedName>
    <definedName name="_xlnm.Print_Area" localSheetId="3">Equity!$A$1:$N$31</definedName>
    <definedName name="_xlnm.Print_Area" localSheetId="0">'IS &amp; OCI'!$A$1:$M$29</definedName>
    <definedName name="_xlnm.Print_Area" localSheetId="4">Notes!$A$1:$M$289</definedName>
  </definedNames>
  <calcPr calcId="145621"/>
</workbook>
</file>

<file path=xl/calcChain.xml><?xml version="1.0" encoding="utf-8"?>
<calcChain xmlns="http://schemas.openxmlformats.org/spreadsheetml/2006/main">
  <c r="F72" i="7" l="1"/>
  <c r="J72" i="7" s="1"/>
  <c r="F70" i="7"/>
  <c r="J188" i="7" l="1"/>
  <c r="L191" i="7" l="1"/>
  <c r="L190" i="7"/>
  <c r="L189" i="7"/>
  <c r="J191" i="7"/>
  <c r="H191" i="7"/>
  <c r="H190" i="7"/>
  <c r="H189" i="7"/>
  <c r="F191" i="7"/>
  <c r="F190" i="7"/>
  <c r="F189" i="7"/>
  <c r="L104" i="7"/>
  <c r="J104" i="7"/>
  <c r="H104" i="7"/>
  <c r="F104" i="7"/>
  <c r="G18" i="8" l="1"/>
  <c r="E12" i="8" l="1"/>
  <c r="L73" i="7" l="1"/>
  <c r="L12" i="5" s="1"/>
  <c r="H73" i="7"/>
  <c r="H12" i="5" s="1"/>
  <c r="F73" i="7"/>
  <c r="F12" i="5" s="1"/>
  <c r="J71" i="7"/>
  <c r="J190" i="7" s="1"/>
  <c r="J70" i="7"/>
  <c r="J189" i="7" s="1"/>
  <c r="L69" i="7"/>
  <c r="H69" i="7"/>
  <c r="J73" i="7" l="1"/>
  <c r="J12" i="5" s="1"/>
  <c r="J15" i="5" l="1"/>
  <c r="F15" i="5"/>
  <c r="L99" i="7" l="1"/>
  <c r="H99" i="7"/>
  <c r="I27" i="8" l="1"/>
  <c r="L286" i="7" l="1"/>
  <c r="J286" i="7"/>
  <c r="H286" i="7"/>
  <c r="F286" i="7"/>
  <c r="G289" i="7"/>
  <c r="E289" i="7"/>
  <c r="H187" i="7"/>
  <c r="I286" i="7" l="1"/>
  <c r="I21" i="8"/>
  <c r="F130" i="7" l="1"/>
  <c r="F115" i="7"/>
  <c r="I25" i="8" l="1"/>
  <c r="I20" i="8"/>
  <c r="I24" i="8" l="1"/>
  <c r="J55" i="7" l="1"/>
  <c r="J142" i="7" l="1"/>
  <c r="J141" i="7"/>
  <c r="J143" i="7" l="1"/>
  <c r="F142" i="7"/>
  <c r="F207" i="7" l="1"/>
  <c r="F159" i="7" l="1"/>
  <c r="J159" i="7" l="1"/>
  <c r="I8" i="8" l="1"/>
  <c r="I33" i="8"/>
  <c r="I29" i="8"/>
  <c r="I28" i="8"/>
  <c r="I22" i="8"/>
  <c r="I17" i="8"/>
  <c r="I16" i="8"/>
  <c r="I15" i="8"/>
  <c r="I14" i="8"/>
  <c r="I13" i="8"/>
  <c r="I11" i="8"/>
  <c r="K34" i="8" l="1"/>
  <c r="G34" i="8"/>
  <c r="E34" i="8"/>
  <c r="L287" i="7" l="1"/>
  <c r="H287" i="7"/>
  <c r="F287" i="7" l="1"/>
  <c r="L82" i="7"/>
  <c r="L13" i="5" s="1"/>
  <c r="H82" i="7"/>
  <c r="H13" i="5" s="1"/>
  <c r="F82" i="7"/>
  <c r="F92" i="7"/>
  <c r="F14" i="5" s="1"/>
  <c r="F288" i="7" s="1"/>
  <c r="H92" i="7"/>
  <c r="H14" i="5" s="1"/>
  <c r="H288" i="7" s="1"/>
  <c r="L92" i="7"/>
  <c r="L14" i="5" s="1"/>
  <c r="L288" i="7" s="1"/>
  <c r="J91" i="7"/>
  <c r="J90" i="7"/>
  <c r="J89" i="7"/>
  <c r="L87" i="7"/>
  <c r="H87" i="7"/>
  <c r="J287" i="7"/>
  <c r="I288" i="7" l="1"/>
  <c r="H16" i="5"/>
  <c r="J92" i="7"/>
  <c r="J14" i="5" s="1"/>
  <c r="J288" i="7" s="1"/>
  <c r="F230" i="7"/>
  <c r="F158" i="7" l="1"/>
  <c r="F277" i="7" l="1"/>
  <c r="J81" i="7" l="1"/>
  <c r="J80" i="7"/>
  <c r="J277" i="7"/>
  <c r="J57" i="7"/>
  <c r="J60" i="7"/>
  <c r="J56" i="7"/>
  <c r="J59" i="7"/>
  <c r="J82" i="7" l="1"/>
  <c r="J13" i="5" s="1"/>
  <c r="F13" i="5"/>
  <c r="F278" i="7" s="1"/>
  <c r="H17" i="5"/>
  <c r="H11" i="7" s="1"/>
  <c r="H285" i="7" l="1"/>
  <c r="H289" i="7" s="1"/>
  <c r="L16" i="5"/>
  <c r="L17" i="5" s="1"/>
  <c r="L11" i="7" s="1"/>
  <c r="L285" i="7" l="1"/>
  <c r="L289" i="7" s="1"/>
  <c r="J264" i="7"/>
  <c r="J18" i="5" l="1"/>
  <c r="J128" i="7" l="1"/>
  <c r="F34" i="7" l="1"/>
  <c r="N26" i="9" l="1"/>
  <c r="J14" i="9" l="1"/>
  <c r="N11" i="9"/>
  <c r="N10" i="9"/>
  <c r="H131" i="7" l="1"/>
  <c r="H36" i="7"/>
  <c r="J265" i="7" l="1"/>
  <c r="J263" i="7"/>
  <c r="J260" i="7"/>
  <c r="J259" i="7"/>
  <c r="J256" i="7"/>
  <c r="J255" i="7"/>
  <c r="J157" i="7"/>
  <c r="J156" i="7"/>
  <c r="J155" i="7"/>
  <c r="J154" i="7"/>
  <c r="J153" i="7"/>
  <c r="J130" i="7"/>
  <c r="J129" i="7"/>
  <c r="J117" i="7"/>
  <c r="J116" i="7"/>
  <c r="J115" i="7"/>
  <c r="J158" i="7" l="1"/>
  <c r="J278" i="7"/>
  <c r="J35" i="7"/>
  <c r="J34" i="7"/>
  <c r="J33" i="7"/>
  <c r="J32" i="7"/>
  <c r="J31" i="7"/>
  <c r="L280" i="7" l="1"/>
  <c r="H280" i="7" l="1"/>
  <c r="J279" i="7" l="1"/>
  <c r="F279" i="7"/>
  <c r="L14" i="9" l="1"/>
  <c r="G280" i="7" l="1"/>
  <c r="E280" i="7"/>
  <c r="I278" i="7"/>
  <c r="F160" i="7" l="1"/>
  <c r="H118" i="7" l="1"/>
  <c r="J118" i="7" l="1"/>
  <c r="J19" i="5" s="1"/>
  <c r="J9" i="5"/>
  <c r="J58" i="7"/>
  <c r="J36" i="7"/>
  <c r="J160" i="7"/>
  <c r="I23" i="8"/>
  <c r="I26" i="8" s="1"/>
  <c r="L117" i="7" l="1"/>
  <c r="H58" i="7" l="1"/>
  <c r="H61" i="7" s="1"/>
  <c r="N12" i="9" l="1"/>
  <c r="F9" i="5" l="1"/>
  <c r="G27" i="6" l="1"/>
  <c r="I32" i="8" l="1"/>
  <c r="I31" i="8"/>
  <c r="I34" i="8" l="1"/>
  <c r="H267" i="7"/>
  <c r="J185" i="7"/>
  <c r="J187" i="7"/>
  <c r="J276" i="7"/>
  <c r="J266" i="7" l="1"/>
  <c r="J10" i="5"/>
  <c r="J11" i="5"/>
  <c r="J184" i="7"/>
  <c r="J183" i="7"/>
  <c r="J186" i="7" s="1"/>
  <c r="J16" i="5" l="1"/>
  <c r="J257" i="7"/>
  <c r="J26" i="5" s="1"/>
  <c r="J267" i="7"/>
  <c r="J27" i="5" s="1"/>
  <c r="J131" i="7"/>
  <c r="J20" i="5" s="1"/>
  <c r="J61" i="7"/>
  <c r="F10" i="5" l="1"/>
  <c r="F11" i="5" l="1"/>
  <c r="F267" i="7" l="1"/>
  <c r="F20" i="7" l="1"/>
  <c r="J20" i="7" s="1"/>
  <c r="E9" i="8" l="1"/>
  <c r="I9" i="8" s="1"/>
  <c r="F173" i="7" l="1"/>
  <c r="I36" i="6" l="1"/>
  <c r="I39" i="6" s="1"/>
  <c r="I31" i="6"/>
  <c r="I27" i="6"/>
  <c r="I16" i="6"/>
  <c r="I19" i="6" s="1"/>
  <c r="I12" i="6"/>
  <c r="I11" i="6"/>
  <c r="I20" i="6" l="1"/>
  <c r="I40" i="6"/>
  <c r="L267" i="7" l="1"/>
  <c r="H173" i="7"/>
  <c r="L131" i="7"/>
  <c r="L36" i="7"/>
  <c r="K19" i="8" l="1"/>
  <c r="G19" i="6"/>
  <c r="G12" i="6"/>
  <c r="H21" i="5"/>
  <c r="H23" i="5" s="1"/>
  <c r="G20" i="6" l="1"/>
  <c r="H233" i="7" l="1"/>
  <c r="L58" i="7" l="1"/>
  <c r="L61" i="7" s="1"/>
  <c r="I279" i="7" l="1"/>
  <c r="F58" i="7"/>
  <c r="F61" i="7" s="1"/>
  <c r="K26" i="8" l="1"/>
  <c r="L28" i="5"/>
  <c r="L21" i="5" l="1"/>
  <c r="K35" i="8"/>
  <c r="K37" i="8" s="1"/>
  <c r="I36" i="8" s="1"/>
  <c r="L23" i="5" l="1"/>
  <c r="L29" i="5" s="1"/>
  <c r="F186" i="7"/>
  <c r="L187" i="7" l="1"/>
  <c r="G26" i="8" l="1"/>
  <c r="F17" i="7" l="1"/>
  <c r="J17" i="7" s="1"/>
  <c r="F15" i="7"/>
  <c r="J15" i="7" s="1"/>
  <c r="H185" i="7" l="1"/>
  <c r="F276" i="7" l="1"/>
  <c r="I276" i="7" s="1"/>
  <c r="F16" i="5"/>
  <c r="F185" i="7" l="1"/>
  <c r="E26" i="8"/>
  <c r="F27" i="5"/>
  <c r="H257" i="7"/>
  <c r="F257" i="7"/>
  <c r="F187" i="7"/>
  <c r="H184" i="7"/>
  <c r="F184" i="7"/>
  <c r="H183" i="7"/>
  <c r="H186" i="7" s="1"/>
  <c r="F183" i="7"/>
  <c r="H181" i="7"/>
  <c r="H158" i="7"/>
  <c r="H160" i="7" s="1"/>
  <c r="F18" i="7"/>
  <c r="J18" i="7" s="1"/>
  <c r="H143" i="7"/>
  <c r="F143" i="7"/>
  <c r="F22" i="5" s="1"/>
  <c r="F131" i="7"/>
  <c r="F20" i="5" s="1"/>
  <c r="F118" i="7"/>
  <c r="F19" i="5" s="1"/>
  <c r="H78" i="7"/>
  <c r="F36" i="7"/>
  <c r="F9" i="7" s="1"/>
  <c r="J9" i="7" s="1"/>
  <c r="J22" i="5" l="1"/>
  <c r="J28" i="5"/>
  <c r="L25" i="9" s="1"/>
  <c r="E10" i="8"/>
  <c r="I10" i="8" s="1"/>
  <c r="F7" i="5"/>
  <c r="F10" i="7" s="1"/>
  <c r="J7" i="5"/>
  <c r="G7" i="8"/>
  <c r="H28" i="5"/>
  <c r="F26" i="5"/>
  <c r="F28" i="5" s="1"/>
  <c r="J17" i="5" l="1"/>
  <c r="J10" i="7"/>
  <c r="F17" i="5"/>
  <c r="F11" i="7" s="1"/>
  <c r="G19" i="8"/>
  <c r="G35" i="8" s="1"/>
  <c r="G37" i="8" s="1"/>
  <c r="H29" i="5"/>
  <c r="J285" i="7" l="1"/>
  <c r="J289" i="7" s="1"/>
  <c r="J11" i="7"/>
  <c r="F285" i="7"/>
  <c r="F289" i="7" s="1"/>
  <c r="J21" i="5"/>
  <c r="F21" i="5"/>
  <c r="F23" i="5" s="1"/>
  <c r="F275" i="7"/>
  <c r="J275" i="7"/>
  <c r="J280" i="7" s="1"/>
  <c r="F12" i="7"/>
  <c r="J12" i="7" s="1"/>
  <c r="I285" i="7" l="1"/>
  <c r="J23" i="5"/>
  <c r="J25" i="9" s="1"/>
  <c r="F13" i="7"/>
  <c r="J13" i="7" s="1"/>
  <c r="F29" i="5"/>
  <c r="F280" i="7"/>
  <c r="I275" i="7"/>
  <c r="J29" i="5" l="1"/>
  <c r="I7" i="8"/>
  <c r="E7" i="8"/>
  <c r="E19" i="8" s="1"/>
  <c r="E35" i="8" s="1"/>
  <c r="E37" i="8" s="1"/>
  <c r="F14" i="7"/>
  <c r="J14" i="7" s="1"/>
  <c r="G31" i="6"/>
  <c r="I19" i="8" l="1"/>
  <c r="I35" i="8" s="1"/>
  <c r="I37" i="8" s="1"/>
  <c r="F16" i="7"/>
  <c r="J16" i="7" s="1"/>
  <c r="L118" i="7"/>
  <c r="M234" i="7" l="1"/>
  <c r="F221" i="7" l="1"/>
  <c r="H221" i="7"/>
  <c r="L78" i="7" l="1"/>
  <c r="L257" i="7"/>
  <c r="L158" i="7" l="1"/>
  <c r="L160" i="7" s="1"/>
  <c r="F210" i="7" l="1"/>
  <c r="H207" i="7"/>
  <c r="H210" i="7" s="1"/>
  <c r="N24" i="9" l="1"/>
  <c r="L143" i="7" l="1"/>
  <c r="H175" i="7" l="1"/>
  <c r="D28" i="9" l="1"/>
  <c r="G33" i="6" s="1"/>
  <c r="F28" i="9"/>
  <c r="G34" i="6" s="1"/>
  <c r="H28" i="9"/>
  <c r="G35" i="6" s="1"/>
  <c r="G36" i="6" l="1"/>
  <c r="L28" i="9"/>
  <c r="G38" i="6" s="1"/>
  <c r="F175" i="7" l="1"/>
  <c r="L184" i="7" l="1"/>
  <c r="L185" i="7"/>
  <c r="L183" i="7" l="1"/>
  <c r="E28" i="9" l="1"/>
  <c r="G28" i="9"/>
  <c r="I28" i="9"/>
  <c r="K28" i="9"/>
  <c r="N27" i="9" l="1"/>
  <c r="N8" i="9"/>
  <c r="N9" i="9"/>
  <c r="N13" i="9"/>
  <c r="H14" i="9"/>
  <c r="F14" i="9"/>
  <c r="D14" i="9"/>
  <c r="N14" i="9" l="1"/>
  <c r="L181" i="7" l="1"/>
  <c r="J28" i="9" l="1"/>
  <c r="G37" i="6" l="1"/>
  <c r="G39" i="6" s="1"/>
  <c r="N28" i="9"/>
  <c r="N25" i="9"/>
  <c r="G40" i="6" l="1"/>
  <c r="F233" i="7"/>
  <c r="F21" i="7" s="1"/>
  <c r="J21" i="7" s="1"/>
  <c r="F19" i="7" l="1"/>
  <c r="J19" i="7" s="1"/>
</calcChain>
</file>

<file path=xl/sharedStrings.xml><?xml version="1.0" encoding="utf-8"?>
<sst xmlns="http://schemas.openxmlformats.org/spreadsheetml/2006/main" count="498" uniqueCount="270">
  <si>
    <t xml:space="preserve"> </t>
  </si>
  <si>
    <t>December 31,</t>
  </si>
  <si>
    <t>Cash and cash equivalents</t>
  </si>
  <si>
    <t>Income taxes payable</t>
  </si>
  <si>
    <t>Other long-term liabilities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</si>
  <si>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</si>
  <si>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</si>
  <si>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</si>
  <si>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</si>
  <si>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</si>
  <si>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</si>
  <si>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</si>
  <si>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</si>
  <si>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</si>
  <si>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</si>
  <si>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</si>
  <si>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</si>
  <si>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</si>
  <si>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</si>
  <si>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</si>
  <si>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</si>
  <si>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</si>
  <si>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</si>
  <si>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</si>
  <si>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</si>
  <si>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Goodwill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</si>
  <si>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</si>
  <si>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</si>
  <si>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</si>
  <si>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</si>
  <si>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</si>
  <si>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</si>
  <si>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</si>
  <si>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</si>
  <si>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</si>
  <si>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</si>
  <si>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</si>
  <si>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</si>
  <si>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</si>
  <si>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</si>
  <si>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</si>
  <si>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</si>
  <si>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</si>
  <si>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</si>
  <si>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Interest bearing receivables</t>
  </si>
  <si>
    <t>Restricted cash (current and long-term)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</si>
  <si>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</si>
  <si>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</si>
  <si>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</si>
  <si>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</si>
  <si>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</si>
  <si>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</si>
  <si>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</si>
  <si>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</si>
  <si>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</si>
  <si>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</si>
  <si>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</si>
  <si>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</si>
  <si>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</si>
  <si>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</si>
  <si>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</si>
  <si>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</si>
  <si>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</si>
  <si>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</si>
  <si>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</si>
  <si>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</si>
  <si>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</si>
  <si>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</si>
  <si>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</si>
  <si>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</si>
  <si>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</si>
  <si>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</si>
  <si>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</si>
  <si>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</si>
  <si>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</si>
  <si>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</si>
  <si>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</si>
  <si>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</si>
  <si>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</si>
  <si>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</si>
  <si>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</si>
  <si>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</si>
  <si>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</si>
  <si>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</si>
  <si>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</si>
  <si>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</si>
  <si>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 xml:space="preserve"> Income taxes paid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</si>
  <si>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</si>
  <si>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</si>
  <si>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</si>
  <si>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</si>
  <si>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</si>
  <si>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</si>
  <si>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</si>
  <si>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</si>
  <si>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</si>
  <si>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</si>
  <si>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</si>
  <si>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</si>
  <si>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</si>
  <si>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</si>
  <si>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</si>
  <si>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</si>
  <si>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</si>
  <si>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</si>
  <si>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</si>
  <si>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</si>
  <si>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</si>
  <si>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</si>
  <si>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</si>
  <si>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</si>
  <si>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</si>
  <si>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</si>
  <si>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Depreciation capitalized and deferred, net</t>
  </si>
  <si>
    <t>Adjustment for deferred loan costs (offset in long-term debt)</t>
  </si>
  <si>
    <t>Employee benefit plans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</si>
  <si>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</si>
  <si>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</si>
  <si>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</si>
  <si>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</si>
  <si>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</si>
  <si>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</si>
  <si>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</si>
  <si>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</si>
  <si>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Increase in long-term restricted cash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</si>
  <si>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</si>
  <si>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</si>
  <si>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</si>
  <si>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</si>
  <si>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</si>
  <si>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</si>
  <si>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</si>
  <si>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</si>
  <si>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</si>
  <si>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</si>
  <si>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</si>
  <si>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</si>
  <si>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</si>
  <si>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</si>
  <si>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</si>
  <si>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</si>
  <si>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</si>
  <si>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</si>
  <si>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</si>
  <si>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</si>
  <si>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</si>
  <si>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</si>
  <si>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</si>
  <si>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</si>
  <si>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</si>
  <si>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</si>
  <si>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</si>
  <si>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</si>
  <si>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</si>
  <si>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</si>
  <si>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</si>
  <si>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</si>
  <si>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</si>
  <si>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</si>
  <si>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Balance as of January 1, 2015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</si>
  <si>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</si>
  <si>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</si>
  <si>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</si>
  <si>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</si>
  <si>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Other comprehensive income (loss) of associated companies</t>
  </si>
  <si>
    <t>Translation adjustments and other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</si>
  <si>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</si>
  <si>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</si>
  <si>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</si>
  <si>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</si>
  <si>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</si>
  <si>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</si>
  <si>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</si>
  <si>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 xml:space="preserve">Revolving credit facility, due 2018 </t>
  </si>
  <si>
    <t>Revolving credit facility, due 2018</t>
  </si>
  <si>
    <t>Net income (loss) to equity holders of PGS ASA</t>
  </si>
  <si>
    <t>Note 1 - Revenues</t>
  </si>
  <si>
    <t xml:space="preserve">Long-term debt </t>
  </si>
  <si>
    <t>(In millions of US dollars, except per share data)</t>
  </si>
  <si>
    <t>Revenues</t>
  </si>
  <si>
    <t>EBIT as reported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</si>
  <si>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</si>
  <si>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</si>
  <si>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</si>
  <si>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</si>
  <si>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</si>
  <si>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</si>
  <si>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</si>
  <si>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</si>
  <si>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</si>
  <si>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Proceeds from sale of treasury shares/share issue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</si>
  <si>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</si>
  <si>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</si>
  <si>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</si>
  <si>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December 31</t>
  </si>
  <si>
    <t>Balance as of January 1, 2016</t>
  </si>
  <si>
    <t>Completed during 2016</t>
  </si>
  <si>
    <t>Sellling, general and administrative costs</t>
  </si>
  <si>
    <t>Note 5 - Interest expense</t>
  </si>
  <si>
    <t>Note 6 - Other financial expense, net</t>
  </si>
  <si>
    <t>Note 8 - Property and equipment</t>
  </si>
  <si>
    <t>Note 9 - MultiClient library</t>
  </si>
  <si>
    <t>Note 10 - Liquidity and financing</t>
  </si>
  <si>
    <t>Note 11 - Earnings per share</t>
  </si>
  <si>
    <t xml:space="preserve">Term loan B, Libor (min. 75 bp) + 250 Basis points, due 2021 </t>
  </si>
  <si>
    <t>Income (loss) before income tax expense</t>
  </si>
  <si>
    <t>Operating profit (loss)/EBIT</t>
  </si>
  <si>
    <t>Net income (loss) to equity holders</t>
  </si>
  <si>
    <t>Note 12 - Other comprehensive income</t>
  </si>
  <si>
    <t>Changes to Other comprehensive income consists of the following:</t>
  </si>
  <si>
    <t>Shares available for sale</t>
  </si>
  <si>
    <t xml:space="preserve"> Condensed Consolidated Statements of Profit and Loss and Other Comprehensive Income</t>
  </si>
  <si>
    <t xml:space="preserve">        Cash costs, gross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</si>
  <si>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</si>
  <si>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</si>
  <si>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</si>
  <si>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</si>
  <si>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 xml:space="preserve">      Investment in property and equipment</t>
  </si>
  <si>
    <t xml:space="preserve">EBITDA </t>
  </si>
  <si>
    <t>Operating profit (loss)</t>
  </si>
  <si>
    <t xml:space="preserve">       Total capital expenditures, whether paid or not</t>
  </si>
  <si>
    <t>Accelerated amortization of MultiClient library, see note 14</t>
  </si>
  <si>
    <t>Impairment of MultiClient library</t>
  </si>
  <si>
    <t>Other Intangible assets</t>
  </si>
  <si>
    <t>For the twelve months ended December 31, 2016</t>
  </si>
  <si>
    <t>For the twelve months ended December 31, 2015</t>
  </si>
  <si>
    <t>Balance as of December 31, 2015</t>
  </si>
  <si>
    <t>Balance as of December 31, 2016</t>
  </si>
  <si>
    <t>Notes to the Condensed Interim Consolidated Financial Statements - Fourth Quarter 2016</t>
  </si>
  <si>
    <t xml:space="preserve">Year ended
December 31, </t>
  </si>
  <si>
    <t>Sale of own shares (2)</t>
  </si>
  <si>
    <t>Share issue (1)</t>
  </si>
  <si>
    <t>Dividend paid (3)</t>
  </si>
  <si>
    <t>(1) Transaction costs amounting to $1.8 mill are recognized against "Additional paid-in capital" net of related income tax benefits of $0.5 million.</t>
  </si>
  <si>
    <t>(2) Transaction costs amounting to $0.2 mill are recognized against "Accumulated earnings"</t>
  </si>
  <si>
    <t>(3) NOK 0.70 per share was paid as ordinary dividend for 2014</t>
  </si>
  <si>
    <t>Depreciation and amortization of long term assets (excl. MultiClient library)</t>
  </si>
  <si>
    <t>Impairment and loss on sale of long-term assets (excl. MultiClient library)</t>
  </si>
  <si>
    <t>Amortization and impairment of MultiClient library</t>
  </si>
  <si>
    <t>Less current portion LT debt</t>
  </si>
  <si>
    <t>Amortization and impairment of MultiClient library consist of the following:</t>
  </si>
  <si>
    <t>Depreciation and amortization of long term assets (excl. MultiClient library) consist of the following:</t>
  </si>
  <si>
    <t>Change in working capital and Capital leases</t>
  </si>
  <si>
    <t>Senior notes, Coupon 7.375%, due 2020</t>
  </si>
  <si>
    <t xml:space="preserve">Income tax </t>
  </si>
  <si>
    <t>Property and equipment (1)</t>
  </si>
  <si>
    <t>(1) The Company recognized a loss on the sale of PGS Apollo of $56.9 million in 2015.</t>
  </si>
  <si>
    <t xml:space="preserve">   issued and outstanding 325,079,996 shares </t>
  </si>
  <si>
    <t>Impairment and loss on sale of long-term assets (excluding MultiClient library) consist of the following:</t>
  </si>
  <si>
    <t>Other charges, net</t>
  </si>
  <si>
    <t>EBIT ex. impairment and other charges, net</t>
  </si>
  <si>
    <t>Note 3 - Depreciation, amortization and impairments and other charges, net</t>
  </si>
  <si>
    <t xml:space="preserve">Other charges, net consist of the following: </t>
  </si>
  <si>
    <t>Stacking and upgrade cost</t>
  </si>
  <si>
    <t>Restructuring cost</t>
  </si>
  <si>
    <t>Onerous contract with customers</t>
  </si>
  <si>
    <t xml:space="preserve">         Net operating expenses</t>
  </si>
  <si>
    <t xml:space="preserve">Note 2 - Net operating expenses </t>
  </si>
  <si>
    <t xml:space="preserve">Note 7 - Income tax </t>
  </si>
  <si>
    <t xml:space="preserve">Deferred tax </t>
  </si>
  <si>
    <t xml:space="preserve">Current tax </t>
  </si>
  <si>
    <t>Note 13 - EBITDA and EBIT ex. impairment and other charges, net reconciliation</t>
  </si>
  <si>
    <t>Key Financial Figures</t>
  </si>
  <si>
    <t>Income tax consists of the following:</t>
  </si>
  <si>
    <t>Note 4 - Share of results from associated companies</t>
  </si>
  <si>
    <t xml:space="preserve">(1) Transaction costs amounting to $5.3 mill are recognized against "Additional paid-in capital". The Norwegian krone proceeds from the share issue </t>
  </si>
  <si>
    <r>
      <t xml:space="preserve">  deviates from the USD/NOK </t>
    </r>
    <r>
      <rPr>
        <sz val="10"/>
        <color rgb="FFFF0000"/>
        <rFont val="Calibri"/>
        <family val="2"/>
      </rPr>
      <t>8.53</t>
    </r>
    <r>
      <rPr>
        <sz val="10"/>
        <rFont val="Calibri"/>
        <family val="2"/>
      </rPr>
      <t xml:space="preserve"> exchange rate at the announcement date November 22, 2016.</t>
    </r>
  </si>
  <si>
    <t xml:space="preserve">  have been translated at the USD/NOK exhange rate 8.65 (registration December 15, 2016 in Norwegian Register of Business Enterprises), which </t>
  </si>
  <si>
    <t>Change in deferred tax</t>
  </si>
  <si>
    <t xml:space="preserve">Share of results in associated companies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</si>
</sst>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\ * #,##0_);_(&quot;$&quot;\ * \(#,##0\);_(&quot;$&quot;\ * &quot;-&quot;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 * #,##0_ ;_ * \(#,##0\)_ ;_ * &quot;-&quot;_ ;_ @_ "/>
    <numFmt numFmtId="176" formatCode="_(* #,##0.0_);_(* \(#,##0.0\);_(* &quot;-&quot;??_);_(@_)"/>
    <numFmt numFmtId="177" formatCode="#,##0;[Red]\(#,##0\)"/>
    <numFmt numFmtId="179" formatCode="_(* #,##0.0_);_(* \(#,##0.0\);_(* &quot;-&quot;_);_(@_)"/>
    <numFmt numFmtId="180" formatCode="_ * #,##0.0_ ;_ * \-#,##0.0_ ;_ * &quot;-&quot;?_ ;_ @_ 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4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34" fillId="0" borderId="0" applyNumberFormat="0" applyFill="0" applyBorder="0" applyAlignment="0"/>
    <xf numFmtId="0" fontId="35" fillId="0" borderId="0"/>
    <xf numFmtId="0" fontId="36" fillId="0" borderId="0"/>
    <xf numFmtId="0" fontId="35" fillId="0" borderId="0"/>
    <xf numFmtId="0" fontId="36" fillId="0" borderId="0"/>
    <xf numFmtId="0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15" borderId="8" applyNumberFormat="0" applyProtection="0">
      <alignment vertical="center"/>
    </xf>
    <xf numFmtId="0" fontId="28" fillId="15" borderId="9" applyNumberFormat="0" applyProtection="0"/>
    <xf numFmtId="0" fontId="39" fillId="15" borderId="10" applyNumberFormat="0" applyProtection="0">
      <alignment vertical="center"/>
    </xf>
    <xf numFmtId="0" fontId="39" fillId="15" borderId="11" applyNumberFormat="0" applyProtection="0">
      <alignment vertical="center"/>
    </xf>
    <xf numFmtId="0" fontId="39" fillId="15" borderId="0" applyNumberFormat="0" applyProtection="0">
      <alignment vertical="center"/>
    </xf>
    <xf numFmtId="0" fontId="32" fillId="0" borderId="12" applyNumberFormat="0" applyProtection="0"/>
    <xf numFmtId="0" fontId="29" fillId="0" borderId="13" applyNumberFormat="0" applyProtection="0">
      <alignment horizontal="left" textRotation="90" wrapText="1"/>
    </xf>
    <xf numFmtId="0" fontId="40" fillId="15" borderId="0" applyNumberFormat="0" applyProtection="0"/>
    <xf numFmtId="0" fontId="41" fillId="0" borderId="0" applyNumberFormat="0" applyFill="0" applyBorder="0" applyAlignment="0" applyProtection="0"/>
    <xf numFmtId="0" fontId="42" fillId="0" borderId="0"/>
    <xf numFmtId="0" fontId="20" fillId="0" borderId="0"/>
    <xf numFmtId="0" fontId="17" fillId="0" borderId="0"/>
    <xf numFmtId="0" fontId="43" fillId="0" borderId="0"/>
    <xf numFmtId="0" fontId="33" fillId="0" borderId="0"/>
    <xf numFmtId="0" fontId="29" fillId="0" borderId="0"/>
    <xf numFmtId="177" fontId="44" fillId="16" borderId="0"/>
    <xf numFmtId="177" fontId="44" fillId="16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45" fillId="0" borderId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0"/>
    <xf numFmtId="168" fontId="4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9" fillId="0" borderId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7" fillId="0" borderId="0" applyFont="0" applyFill="0" applyBorder="0" applyAlignment="0" applyProtection="0"/>
    <xf numFmtId="171" fontId="49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7" borderId="0">
      <alignment horizontal="right"/>
    </xf>
    <xf numFmtId="38" fontId="52" fillId="0" borderId="0"/>
    <xf numFmtId="38" fontId="53" fillId="0" borderId="0"/>
    <xf numFmtId="38" fontId="54" fillId="0" borderId="0"/>
    <xf numFmtId="38" fontId="55" fillId="0" borderId="0"/>
    <xf numFmtId="0" fontId="19" fillId="0" borderId="0"/>
    <xf numFmtId="0" fontId="19" fillId="0" borderId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37" fontId="57" fillId="18" borderId="0"/>
    <xf numFmtId="37" fontId="58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8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59" fillId="0" borderId="1">
      <alignment horizontal="center"/>
    </xf>
    <xf numFmtId="3" fontId="56" fillId="0" borderId="0" applyFont="0" applyFill="0" applyBorder="0" applyAlignment="0" applyProtection="0"/>
    <xf numFmtId="0" fontId="56" fillId="19" borderId="0" applyNumberFormat="0" applyFont="0" applyBorder="0" applyAlignment="0" applyProtection="0"/>
    <xf numFmtId="0" fontId="17" fillId="2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</cellStyleXfs>
  <cellXfs count="544">
    <xf numFmtId="0" fontId="0" fillId="0" borderId="0" xfId="0"/>
    <xf numFmtId="0" fontId="3" fillId="0" borderId="0" xfId="0" applyFont="1"/>
    <xf numFmtId="173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3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4" fontId="3" fillId="0" borderId="0" xfId="0" applyNumberFormat="1" applyFont="1"/>
    <xf numFmtId="166" fontId="3" fillId="0" borderId="0" xfId="0" applyNumberFormat="1" applyFont="1"/>
    <xf numFmtId="174" fontId="3" fillId="0" borderId="0" xfId="2" applyNumberFormat="1" applyFont="1" applyBorder="1"/>
    <xf numFmtId="166" fontId="3" fillId="0" borderId="0" xfId="0" applyNumberFormat="1" applyFont="1" applyFill="1"/>
    <xf numFmtId="173" fontId="6" fillId="0" borderId="0" xfId="1" applyNumberFormat="1" applyFont="1" applyBorder="1" applyAlignment="1">
      <alignment horizontal="left"/>
    </xf>
    <xf numFmtId="174" fontId="6" fillId="0" borderId="0" xfId="2" applyNumberFormat="1" applyFont="1" applyFill="1" applyBorder="1"/>
    <xf numFmtId="173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3" fontId="3" fillId="0" borderId="0" xfId="1" applyNumberFormat="1" applyFont="1" applyFill="1"/>
    <xf numFmtId="0" fontId="7" fillId="0" borderId="0" xfId="0" applyFont="1" applyBorder="1"/>
    <xf numFmtId="166" fontId="3" fillId="0" borderId="0" xfId="0" applyNumberFormat="1" applyFont="1" applyFill="1" applyBorder="1"/>
    <xf numFmtId="0" fontId="0" fillId="0" borderId="0" xfId="0" applyFill="1"/>
    <xf numFmtId="174" fontId="6" fillId="0" borderId="0" xfId="2" applyNumberFormat="1" applyFont="1" applyBorder="1"/>
    <xf numFmtId="172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5" fontId="3" fillId="0" borderId="0" xfId="1" applyNumberFormat="1" applyFont="1" applyBorder="1"/>
    <xf numFmtId="174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3" fontId="3" fillId="0" borderId="0" xfId="1" applyNumberFormat="1" applyFont="1" applyFill="1" applyAlignment="1">
      <alignment horizontal="left"/>
    </xf>
    <xf numFmtId="173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8" fontId="3" fillId="0" borderId="0" xfId="0" applyNumberFormat="1" applyFont="1"/>
    <xf numFmtId="0" fontId="14" fillId="0" borderId="0" xfId="0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5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72" fontId="4" fillId="0" borderId="0" xfId="3" applyNumberFormat="1" applyFont="1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166" fontId="3" fillId="0" borderId="0" xfId="3" applyNumberFormat="1" applyFont="1"/>
    <xf numFmtId="172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3" fontId="3" fillId="0" borderId="0" xfId="3" applyNumberFormat="1" applyFont="1"/>
    <xf numFmtId="172" fontId="3" fillId="0" borderId="0" xfId="3" applyNumberFormat="1" applyFont="1" applyBorder="1"/>
    <xf numFmtId="0" fontId="17" fillId="0" borderId="0" xfId="3" applyFont="1" applyFill="1" applyBorder="1"/>
    <xf numFmtId="0" fontId="3" fillId="0" borderId="2" xfId="3" applyFont="1" applyFill="1" applyBorder="1"/>
    <xf numFmtId="175" fontId="11" fillId="0" borderId="0" xfId="3" applyNumberFormat="1" applyFont="1" applyFill="1"/>
    <xf numFmtId="175" fontId="3" fillId="0" borderId="0" xfId="3" applyNumberFormat="1" applyFont="1" applyAlignment="1">
      <alignment horizontal="center"/>
    </xf>
    <xf numFmtId="175" fontId="3" fillId="0" borderId="0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6" fontId="8" fillId="0" borderId="0" xfId="3" applyNumberFormat="1" applyFont="1"/>
    <xf numFmtId="166" fontId="4" fillId="0" borderId="0" xfId="3" applyNumberFormat="1" applyFont="1" applyFill="1" applyBorder="1"/>
    <xf numFmtId="0" fontId="11" fillId="0" borderId="0" xfId="3" applyFont="1"/>
    <xf numFmtId="0" fontId="8" fillId="0" borderId="0" xfId="3" applyFont="1" applyFill="1"/>
    <xf numFmtId="172" fontId="8" fillId="0" borderId="0" xfId="3" applyNumberFormat="1" applyFont="1" applyFill="1" applyBorder="1"/>
    <xf numFmtId="41" fontId="3" fillId="0" borderId="0" xfId="3" applyNumberFormat="1" applyFont="1"/>
    <xf numFmtId="172" fontId="2" fillId="0" borderId="0" xfId="3" applyNumberFormat="1" applyFill="1"/>
    <xf numFmtId="0" fontId="18" fillId="0" borderId="0" xfId="3" applyFont="1" applyFill="1"/>
    <xf numFmtId="172" fontId="18" fillId="0" borderId="0" xfId="3" applyNumberFormat="1" applyFont="1" applyFill="1" applyAlignment="1"/>
    <xf numFmtId="175" fontId="10" fillId="0" borderId="0" xfId="3" applyNumberFormat="1" applyFont="1" applyFill="1" applyBorder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4" fontId="16" fillId="0" borderId="0" xfId="2" applyNumberFormat="1" applyFont="1" applyFill="1" applyBorder="1"/>
    <xf numFmtId="174" fontId="16" fillId="0" borderId="0" xfId="2" applyNumberFormat="1" applyFont="1" applyBorder="1"/>
    <xf numFmtId="0" fontId="11" fillId="0" borderId="0" xfId="0" applyFont="1" applyBorder="1"/>
    <xf numFmtId="0" fontId="12" fillId="0" borderId="0" xfId="0" applyFont="1" applyFill="1"/>
    <xf numFmtId="172" fontId="16" fillId="0" borderId="0" xfId="3" applyNumberFormat="1" applyFont="1" applyFill="1" applyBorder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6" fontId="3" fillId="0" borderId="0" xfId="1" applyNumberFormat="1" applyFont="1" applyFill="1"/>
    <xf numFmtId="0" fontId="3" fillId="0" borderId="0" xfId="3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Border="1"/>
    <xf numFmtId="176" fontId="16" fillId="0" borderId="0" xfId="1" applyNumberFormat="1" applyFont="1" applyFill="1" applyBorder="1"/>
    <xf numFmtId="176" fontId="4" fillId="0" borderId="0" xfId="1" applyNumberFormat="1" applyFont="1" applyFill="1" applyBorder="1"/>
    <xf numFmtId="176" fontId="3" fillId="0" borderId="0" xfId="1" applyNumberFormat="1" applyFont="1"/>
    <xf numFmtId="176" fontId="11" fillId="0" borderId="0" xfId="1" applyNumberFormat="1" applyFont="1"/>
    <xf numFmtId="176" fontId="6" fillId="0" borderId="0" xfId="1" applyNumberFormat="1" applyFont="1" applyFill="1" applyBorder="1"/>
    <xf numFmtId="176" fontId="11" fillId="0" borderId="0" xfId="1" applyNumberFormat="1" applyFont="1" applyBorder="1"/>
    <xf numFmtId="0" fontId="24" fillId="0" borderId="0" xfId="3" applyFont="1" applyFill="1"/>
    <xf numFmtId="174" fontId="25" fillId="0" borderId="0" xfId="3" applyNumberFormat="1" applyFont="1" applyFill="1" applyBorder="1"/>
    <xf numFmtId="166" fontId="25" fillId="0" borderId="0" xfId="3" quotePrefix="1" applyNumberFormat="1" applyFont="1" applyFill="1" applyBorder="1"/>
    <xf numFmtId="0" fontId="9" fillId="0" borderId="0" xfId="0" applyFont="1" applyAlignment="1"/>
    <xf numFmtId="176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5" fontId="26" fillId="0" borderId="0" xfId="0" applyNumberFormat="1" applyFont="1" applyBorder="1"/>
    <xf numFmtId="175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8" fontId="3" fillId="0" borderId="0" xfId="1" applyFont="1"/>
    <xf numFmtId="0" fontId="28" fillId="0" borderId="0" xfId="0" applyFont="1" applyAlignment="1"/>
    <xf numFmtId="0" fontId="28" fillId="0" borderId="0" xfId="0" applyFont="1" applyBorder="1"/>
    <xf numFmtId="176" fontId="30" fillId="0" borderId="0" xfId="1" applyNumberFormat="1" applyFont="1" applyFill="1" applyBorder="1"/>
    <xf numFmtId="174" fontId="13" fillId="0" borderId="0" xfId="2" applyNumberFormat="1" applyFont="1" applyFill="1" applyBorder="1"/>
    <xf numFmtId="176" fontId="31" fillId="0" borderId="0" xfId="1" applyNumberFormat="1" applyFont="1" applyFill="1" applyBorder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3" fontId="3" fillId="0" borderId="0" xfId="1" applyNumberFormat="1" applyFont="1"/>
    <xf numFmtId="173" fontId="4" fillId="0" borderId="0" xfId="1" applyNumberFormat="1" applyFont="1" applyFill="1" applyBorder="1"/>
    <xf numFmtId="176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6" fontId="22" fillId="0" borderId="0" xfId="3" applyNumberFormat="1" applyFont="1" applyFill="1"/>
    <xf numFmtId="0" fontId="23" fillId="0" borderId="0" xfId="3" applyFont="1" applyFill="1"/>
    <xf numFmtId="16" fontId="3" fillId="0" borderId="0" xfId="3" applyNumberFormat="1" applyFont="1" applyBorder="1" applyAlignment="1"/>
    <xf numFmtId="0" fontId="9" fillId="0" borderId="0" xfId="3" applyFont="1" applyAlignment="1">
      <alignment horizontal="center"/>
    </xf>
    <xf numFmtId="173" fontId="3" fillId="0" borderId="0" xfId="3" applyNumberFormat="1" applyFont="1" applyFill="1"/>
    <xf numFmtId="0" fontId="62" fillId="0" borderId="0" xfId="3" applyFont="1" applyFill="1" applyBorder="1"/>
    <xf numFmtId="0" fontId="61" fillId="0" borderId="0" xfId="3" applyFont="1" applyFill="1" applyBorder="1"/>
    <xf numFmtId="0" fontId="61" fillId="0" borderId="0" xfId="3" applyFont="1" applyFill="1"/>
    <xf numFmtId="0" fontId="61" fillId="0" borderId="2" xfId="3" applyFont="1" applyFill="1" applyBorder="1"/>
    <xf numFmtId="0" fontId="62" fillId="0" borderId="4" xfId="3" applyFont="1" applyFill="1" applyBorder="1"/>
    <xf numFmtId="0" fontId="64" fillId="0" borderId="2" xfId="3" applyFont="1" applyFill="1" applyBorder="1"/>
    <xf numFmtId="0" fontId="61" fillId="0" borderId="0" xfId="3" applyFont="1" applyFill="1" applyBorder="1" applyAlignment="1">
      <alignment horizontal="center"/>
    </xf>
    <xf numFmtId="0" fontId="61" fillId="0" borderId="0" xfId="3" applyFont="1" applyAlignment="1">
      <alignment horizontal="center"/>
    </xf>
    <xf numFmtId="166" fontId="61" fillId="0" borderId="0" xfId="3" applyNumberFormat="1" applyFont="1" applyAlignment="1">
      <alignment horizontal="center"/>
    </xf>
    <xf numFmtId="0" fontId="61" fillId="0" borderId="0" xfId="3" applyFont="1" applyBorder="1" applyAlignment="1">
      <alignment horizontal="center"/>
    </xf>
    <xf numFmtId="166" fontId="61" fillId="0" borderId="0" xfId="3" applyNumberFormat="1" applyFont="1" applyBorder="1" applyAlignment="1">
      <alignment horizontal="center"/>
    </xf>
    <xf numFmtId="175" fontId="61" fillId="0" borderId="2" xfId="3" applyNumberFormat="1" applyFont="1" applyBorder="1" applyAlignment="1">
      <alignment horizontal="center"/>
    </xf>
    <xf numFmtId="175" fontId="61" fillId="0" borderId="0" xfId="3" applyNumberFormat="1" applyFont="1" applyAlignment="1">
      <alignment horizontal="center"/>
    </xf>
    <xf numFmtId="175" fontId="61" fillId="0" borderId="0" xfId="3" applyNumberFormat="1" applyFont="1" applyBorder="1" applyAlignment="1">
      <alignment horizontal="center"/>
    </xf>
    <xf numFmtId="0" fontId="61" fillId="0" borderId="2" xfId="3" applyFont="1" applyBorder="1" applyAlignment="1">
      <alignment horizontal="center"/>
    </xf>
    <xf numFmtId="176" fontId="62" fillId="0" borderId="0" xfId="1" applyNumberFormat="1" applyFont="1" applyFill="1"/>
    <xf numFmtId="176" fontId="62" fillId="0" borderId="0" xfId="1" applyNumberFormat="1" applyFont="1" applyFill="1" applyBorder="1"/>
    <xf numFmtId="176" fontId="61" fillId="0" borderId="0" xfId="1" applyNumberFormat="1" applyFont="1" applyFill="1"/>
    <xf numFmtId="176" fontId="61" fillId="0" borderId="0" xfId="1" applyNumberFormat="1" applyFont="1" applyFill="1" applyBorder="1"/>
    <xf numFmtId="176" fontId="62" fillId="0" borderId="4" xfId="1" applyNumberFormat="1" applyFont="1" applyFill="1" applyBorder="1"/>
    <xf numFmtId="0" fontId="61" fillId="0" borderId="1" xfId="3" applyFont="1" applyBorder="1" applyAlignment="1">
      <alignment horizontal="center"/>
    </xf>
    <xf numFmtId="0" fontId="61" fillId="0" borderId="5" xfId="3" applyFont="1" applyBorder="1" applyAlignment="1">
      <alignment horizontal="center"/>
    </xf>
    <xf numFmtId="0" fontId="62" fillId="0" borderId="0" xfId="3" applyFont="1" applyBorder="1" applyAlignment="1">
      <alignment horizontal="center"/>
    </xf>
    <xf numFmtId="16" fontId="61" fillId="0" borderId="0" xfId="3" applyNumberFormat="1" applyFont="1" applyBorder="1" applyAlignment="1">
      <alignment horizontal="center"/>
    </xf>
    <xf numFmtId="0" fontId="64" fillId="0" borderId="1" xfId="3" applyFont="1" applyBorder="1" applyAlignment="1">
      <alignment horizontal="left"/>
    </xf>
    <xf numFmtId="0" fontId="62" fillId="0" borderId="1" xfId="3" applyFont="1" applyBorder="1" applyAlignment="1">
      <alignment horizontal="center"/>
    </xf>
    <xf numFmtId="0" fontId="61" fillId="0" borderId="1" xfId="3" applyFont="1" applyFill="1" applyBorder="1" applyAlignment="1">
      <alignment horizontal="center"/>
    </xf>
    <xf numFmtId="0" fontId="61" fillId="0" borderId="0" xfId="3" applyFont="1"/>
    <xf numFmtId="0" fontId="64" fillId="0" borderId="0" xfId="3" applyFont="1" applyFill="1" applyBorder="1" applyAlignment="1"/>
    <xf numFmtId="0" fontId="62" fillId="0" borderId="0" xfId="3" applyFont="1"/>
    <xf numFmtId="173" fontId="62" fillId="0" borderId="0" xfId="1" applyNumberFormat="1" applyFont="1" applyFill="1" applyAlignment="1"/>
    <xf numFmtId="173" fontId="61" fillId="0" borderId="0" xfId="1" applyNumberFormat="1" applyFont="1" applyFill="1" applyAlignment="1"/>
    <xf numFmtId="173" fontId="61" fillId="0" borderId="0" xfId="1" applyNumberFormat="1" applyFont="1" applyAlignment="1">
      <alignment horizontal="left"/>
    </xf>
    <xf numFmtId="176" fontId="61" fillId="0" borderId="0" xfId="1" applyNumberFormat="1" applyFont="1" applyBorder="1"/>
    <xf numFmtId="176" fontId="61" fillId="0" borderId="0" xfId="1" applyNumberFormat="1" applyFont="1"/>
    <xf numFmtId="173" fontId="61" fillId="0" borderId="0" xfId="1" quotePrefix="1" applyNumberFormat="1" applyFont="1" applyFill="1" applyBorder="1" applyAlignment="1">
      <alignment horizontal="left"/>
    </xf>
    <xf numFmtId="0" fontId="62" fillId="0" borderId="4" xfId="3" applyFont="1" applyBorder="1"/>
    <xf numFmtId="173" fontId="62" fillId="0" borderId="4" xfId="1" applyNumberFormat="1" applyFont="1" applyBorder="1" applyAlignment="1">
      <alignment horizontal="left"/>
    </xf>
    <xf numFmtId="173" fontId="61" fillId="0" borderId="4" xfId="1" applyNumberFormat="1" applyFont="1" applyBorder="1" applyAlignment="1">
      <alignment horizontal="left"/>
    </xf>
    <xf numFmtId="173" fontId="62" fillId="0" borderId="0" xfId="1" applyNumberFormat="1" applyFont="1" applyBorder="1" applyAlignment="1">
      <alignment horizontal="left"/>
    </xf>
    <xf numFmtId="176" fontId="61" fillId="0" borderId="4" xfId="1" applyNumberFormat="1" applyFont="1" applyFill="1" applyBorder="1"/>
    <xf numFmtId="173" fontId="61" fillId="0" borderId="0" xfId="1" applyNumberFormat="1" applyFont="1" applyBorder="1" applyAlignment="1">
      <alignment horizontal="left"/>
    </xf>
    <xf numFmtId="173" fontId="62" fillId="0" borderId="0" xfId="1" applyNumberFormat="1" applyFont="1" applyAlignment="1">
      <alignment horizontal="left"/>
    </xf>
    <xf numFmtId="173" fontId="61" fillId="0" borderId="0" xfId="1" applyNumberFormat="1" applyFont="1" applyFill="1" applyAlignment="1">
      <alignment horizontal="left"/>
    </xf>
    <xf numFmtId="173" fontId="61" fillId="0" borderId="0" xfId="1" applyNumberFormat="1" applyFont="1" applyFill="1" applyBorder="1" applyAlignment="1">
      <alignment horizontal="left"/>
    </xf>
    <xf numFmtId="173" fontId="62" fillId="0" borderId="3" xfId="1" applyNumberFormat="1" applyFont="1" applyBorder="1" applyAlignment="1">
      <alignment horizontal="left"/>
    </xf>
    <xf numFmtId="176" fontId="62" fillId="0" borderId="3" xfId="1" applyNumberFormat="1" applyFont="1" applyFill="1" applyBorder="1"/>
    <xf numFmtId="176" fontId="68" fillId="0" borderId="0" xfId="1" applyNumberFormat="1" applyFont="1" applyBorder="1"/>
    <xf numFmtId="0" fontId="66" fillId="0" borderId="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/>
    <xf numFmtId="0" fontId="61" fillId="0" borderId="0" xfId="0" applyFont="1" applyFill="1" applyBorder="1"/>
    <xf numFmtId="0" fontId="61" fillId="0" borderId="0" xfId="0" applyFont="1"/>
    <xf numFmtId="0" fontId="61" fillId="0" borderId="2" xfId="0" applyFont="1" applyFill="1" applyBorder="1"/>
    <xf numFmtId="176" fontId="61" fillId="0" borderId="2" xfId="1" applyNumberFormat="1" applyFont="1" applyFill="1" applyBorder="1"/>
    <xf numFmtId="0" fontId="61" fillId="0" borderId="1" xfId="0" applyFont="1" applyFill="1" applyBorder="1"/>
    <xf numFmtId="176" fontId="70" fillId="0" borderId="0" xfId="1" applyNumberFormat="1" applyFont="1" applyFill="1"/>
    <xf numFmtId="0" fontId="71" fillId="0" borderId="0" xfId="0" applyFont="1" applyFill="1" applyBorder="1"/>
    <xf numFmtId="0" fontId="66" fillId="0" borderId="1" xfId="0" applyFont="1" applyBorder="1"/>
    <xf numFmtId="0" fontId="66" fillId="0" borderId="1" xfId="0" applyFont="1" applyFill="1" applyBorder="1"/>
    <xf numFmtId="0" fontId="64" fillId="0" borderId="1" xfId="0" applyFont="1" applyBorder="1" applyAlignment="1"/>
    <xf numFmtId="0" fontId="70" fillId="0" borderId="0" xfId="0" applyFont="1" applyBorder="1" applyAlignment="1">
      <alignment horizontal="center"/>
    </xf>
    <xf numFmtId="173" fontId="62" fillId="0" borderId="0" xfId="1" applyNumberFormat="1" applyFont="1" applyBorder="1" applyAlignment="1">
      <alignment horizontal="center"/>
    </xf>
    <xf numFmtId="176" fontId="62" fillId="0" borderId="0" xfId="1" applyNumberFormat="1" applyFont="1" applyBorder="1"/>
    <xf numFmtId="0" fontId="62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17" fillId="0" borderId="0" xfId="0" applyFont="1"/>
    <xf numFmtId="0" fontId="21" fillId="0" borderId="0" xfId="0" applyFont="1" applyFill="1"/>
    <xf numFmtId="0" fontId="61" fillId="0" borderId="0" xfId="3" applyFont="1" applyBorder="1"/>
    <xf numFmtId="0" fontId="65" fillId="0" borderId="0" xfId="0" applyFont="1" applyAlignment="1">
      <alignment horizontal="left"/>
    </xf>
    <xf numFmtId="0" fontId="66" fillId="0" borderId="0" xfId="3" applyFont="1" applyAlignment="1">
      <alignment horizontal="left"/>
    </xf>
    <xf numFmtId="0" fontId="66" fillId="0" borderId="0" xfId="3" applyFont="1" applyFill="1" applyAlignment="1">
      <alignment horizontal="left"/>
    </xf>
    <xf numFmtId="0" fontId="66" fillId="0" borderId="0" xfId="0" applyFont="1" applyAlignment="1">
      <alignment horizontal="left"/>
    </xf>
    <xf numFmtId="0" fontId="61" fillId="0" borderId="1" xfId="3" applyFont="1" applyFill="1" applyBorder="1"/>
    <xf numFmtId="0" fontId="69" fillId="0" borderId="0" xfId="3" applyFont="1" applyFill="1" applyBorder="1"/>
    <xf numFmtId="0" fontId="69" fillId="0" borderId="0" xfId="3" applyFont="1" applyFill="1"/>
    <xf numFmtId="0" fontId="64" fillId="0" borderId="2" xfId="3" applyFont="1" applyFill="1" applyBorder="1" applyAlignment="1">
      <alignment horizontal="left"/>
    </xf>
    <xf numFmtId="0" fontId="69" fillId="0" borderId="2" xfId="3" applyFont="1" applyFill="1" applyBorder="1"/>
    <xf numFmtId="0" fontId="61" fillId="0" borderId="0" xfId="3" applyNumberFormat="1" applyFont="1" applyFill="1" applyAlignment="1">
      <alignment horizontal="center"/>
    </xf>
    <xf numFmtId="0" fontId="61" fillId="0" borderId="2" xfId="3" applyNumberFormat="1" applyFont="1" applyFill="1" applyBorder="1" applyAlignment="1">
      <alignment horizontal="center"/>
    </xf>
    <xf numFmtId="176" fontId="69" fillId="0" borderId="0" xfId="1" applyNumberFormat="1" applyFont="1" applyFill="1" applyAlignment="1"/>
    <xf numFmtId="176" fontId="61" fillId="0" borderId="0" xfId="1" applyNumberFormat="1" applyFont="1" applyFill="1" applyAlignment="1"/>
    <xf numFmtId="176" fontId="69" fillId="0" borderId="0" xfId="1" applyNumberFormat="1" applyFont="1" applyFill="1" applyBorder="1" applyAlignment="1"/>
    <xf numFmtId="176" fontId="61" fillId="0" borderId="2" xfId="1" applyNumberFormat="1" applyFont="1" applyFill="1" applyBorder="1" applyAlignment="1"/>
    <xf numFmtId="175" fontId="74" fillId="0" borderId="0" xfId="3" applyNumberFormat="1" applyFont="1" applyFill="1" applyBorder="1"/>
    <xf numFmtId="172" fontId="61" fillId="0" borderId="0" xfId="3" applyNumberFormat="1" applyFont="1" applyFill="1" applyBorder="1"/>
    <xf numFmtId="172" fontId="61" fillId="0" borderId="0" xfId="3" applyNumberFormat="1" applyFont="1" applyFill="1"/>
    <xf numFmtId="166" fontId="61" fillId="0" borderId="0" xfId="3" applyNumberFormat="1" applyFont="1" applyFill="1"/>
    <xf numFmtId="172" fontId="62" fillId="0" borderId="0" xfId="3" applyNumberFormat="1" applyFont="1" applyFill="1" applyBorder="1"/>
    <xf numFmtId="172" fontId="69" fillId="0" borderId="0" xfId="3" applyNumberFormat="1" applyFont="1" applyFill="1" applyBorder="1"/>
    <xf numFmtId="0" fontId="64" fillId="0" borderId="2" xfId="3" applyFont="1" applyBorder="1"/>
    <xf numFmtId="0" fontId="65" fillId="0" borderId="0" xfId="3" applyFont="1" applyFill="1" applyAlignment="1">
      <alignment horizontal="left"/>
    </xf>
    <xf numFmtId="166" fontId="69" fillId="0" borderId="0" xfId="3" applyNumberFormat="1" applyFont="1"/>
    <xf numFmtId="166" fontId="61" fillId="0" borderId="0" xfId="3" applyNumberFormat="1" applyFont="1" applyFill="1" applyBorder="1"/>
    <xf numFmtId="0" fontId="61" fillId="0" borderId="0" xfId="3" quotePrefix="1" applyNumberFormat="1" applyFont="1" applyFill="1" applyBorder="1" applyAlignment="1">
      <alignment horizontal="center"/>
    </xf>
    <xf numFmtId="174" fontId="61" fillId="0" borderId="0" xfId="3" applyNumberFormat="1" applyFont="1" applyFill="1" applyBorder="1"/>
    <xf numFmtId="0" fontId="76" fillId="0" borderId="0" xfId="3" applyFont="1" applyFill="1" applyAlignment="1">
      <alignment horizontal="left"/>
    </xf>
    <xf numFmtId="0" fontId="76" fillId="0" borderId="0" xfId="3" applyFont="1" applyFill="1" applyBorder="1" applyAlignment="1">
      <alignment horizontal="left"/>
    </xf>
    <xf numFmtId="175" fontId="61" fillId="0" borderId="0" xfId="3" applyNumberFormat="1" applyFont="1" applyFill="1" applyBorder="1"/>
    <xf numFmtId="166" fontId="70" fillId="0" borderId="0" xfId="3" applyNumberFormat="1" applyFont="1" applyFill="1" applyBorder="1"/>
    <xf numFmtId="172" fontId="68" fillId="0" borderId="0" xfId="3" applyNumberFormat="1" applyFont="1" applyFill="1" applyBorder="1"/>
    <xf numFmtId="166" fontId="69" fillId="0" borderId="0" xfId="3" applyNumberFormat="1" applyFont="1" applyFill="1"/>
    <xf numFmtId="166" fontId="61" fillId="0" borderId="0" xfId="3" applyNumberFormat="1" applyFont="1" applyFill="1" applyAlignment="1">
      <alignment horizontal="center"/>
    </xf>
    <xf numFmtId="166" fontId="69" fillId="0" borderId="0" xfId="3" applyNumberFormat="1" applyFont="1" applyFill="1" applyBorder="1"/>
    <xf numFmtId="166" fontId="61" fillId="0" borderId="1" xfId="3" applyNumberFormat="1" applyFont="1" applyFill="1" applyBorder="1"/>
    <xf numFmtId="0" fontId="64" fillId="0" borderId="0" xfId="3" applyFont="1" applyFill="1" applyBorder="1"/>
    <xf numFmtId="0" fontId="61" fillId="0" borderId="1" xfId="3" applyFont="1" applyFill="1" applyBorder="1" applyAlignment="1">
      <alignment horizontal="left"/>
    </xf>
    <xf numFmtId="166" fontId="62" fillId="0" borderId="0" xfId="3" applyNumberFormat="1" applyFont="1" applyFill="1" applyBorder="1"/>
    <xf numFmtId="9" fontId="61" fillId="0" borderId="0" xfId="1" applyNumberFormat="1" applyFont="1" applyFill="1"/>
    <xf numFmtId="166" fontId="76" fillId="0" borderId="0" xfId="3" quotePrefix="1" applyNumberFormat="1" applyFont="1" applyFill="1" applyBorder="1"/>
    <xf numFmtId="166" fontId="76" fillId="0" borderId="0" xfId="3" applyNumberFormat="1" applyFont="1" applyFill="1" applyBorder="1"/>
    <xf numFmtId="0" fontId="77" fillId="0" borderId="0" xfId="3" quotePrefix="1" applyFont="1" applyFill="1" applyBorder="1"/>
    <xf numFmtId="0" fontId="77" fillId="0" borderId="0" xfId="3" applyFont="1" applyFill="1" applyBorder="1"/>
    <xf numFmtId="176" fontId="70" fillId="0" borderId="0" xfId="1" applyNumberFormat="1" applyFont="1" applyFill="1" applyBorder="1"/>
    <xf numFmtId="0" fontId="78" fillId="0" borderId="0" xfId="3" applyFont="1" applyFill="1" applyBorder="1"/>
    <xf numFmtId="0" fontId="65" fillId="0" borderId="0" xfId="3" applyFont="1" applyFill="1" applyBorder="1" applyAlignment="1">
      <alignment horizontal="left"/>
    </xf>
    <xf numFmtId="0" fontId="69" fillId="0" borderId="0" xfId="3" applyFont="1"/>
    <xf numFmtId="166" fontId="69" fillId="0" borderId="1" xfId="3" applyNumberFormat="1" applyFont="1" applyFill="1" applyBorder="1"/>
    <xf numFmtId="172" fontId="61" fillId="21" borderId="0" xfId="3" applyNumberFormat="1" applyFont="1" applyFill="1"/>
    <xf numFmtId="0" fontId="61" fillId="0" borderId="0" xfId="3" applyFont="1" applyFill="1" applyAlignment="1">
      <alignment wrapText="1"/>
    </xf>
    <xf numFmtId="166" fontId="61" fillId="21" borderId="0" xfId="3" applyNumberFormat="1" applyFont="1" applyFill="1"/>
    <xf numFmtId="172" fontId="62" fillId="0" borderId="0" xfId="3" applyNumberFormat="1" applyFont="1" applyFill="1"/>
    <xf numFmtId="0" fontId="77" fillId="0" borderId="0" xfId="3" applyFont="1"/>
    <xf numFmtId="0" fontId="61" fillId="21" borderId="0" xfId="3" applyFont="1" applyFill="1"/>
    <xf numFmtId="0" fontId="78" fillId="0" borderId="0" xfId="3" quotePrefix="1" applyFont="1" applyFill="1" applyBorder="1"/>
    <xf numFmtId="176" fontId="62" fillId="0" borderId="1" xfId="1" applyNumberFormat="1" applyFont="1" applyFill="1" applyBorder="1"/>
    <xf numFmtId="172" fontId="62" fillId="0" borderId="1" xfId="3" applyNumberFormat="1" applyFont="1" applyFill="1" applyBorder="1"/>
    <xf numFmtId="176" fontId="61" fillId="0" borderId="1" xfId="1" applyNumberFormat="1" applyFont="1" applyFill="1" applyBorder="1"/>
    <xf numFmtId="173" fontId="62" fillId="0" borderId="0" xfId="1" applyNumberFormat="1" applyFont="1" applyFill="1" applyBorder="1" applyAlignment="1">
      <alignment horizontal="left"/>
    </xf>
    <xf numFmtId="173" fontId="74" fillId="0" borderId="0" xfId="1" applyNumberFormat="1" applyFont="1" applyFill="1" applyBorder="1" applyAlignment="1">
      <alignment horizontal="left"/>
    </xf>
    <xf numFmtId="166" fontId="61" fillId="0" borderId="0" xfId="0" applyNumberFormat="1" applyFont="1" applyFill="1" applyBorder="1"/>
    <xf numFmtId="173" fontId="61" fillId="0" borderId="0" xfId="1" applyNumberFormat="1" applyFont="1" applyFill="1" applyBorder="1" applyAlignment="1">
      <alignment horizontal="center"/>
    </xf>
    <xf numFmtId="167" fontId="61" fillId="0" borderId="0" xfId="2" applyNumberFormat="1" applyFont="1" applyFill="1" applyBorder="1"/>
    <xf numFmtId="168" fontId="61" fillId="0" borderId="0" xfId="1" applyFont="1" applyFill="1"/>
    <xf numFmtId="173" fontId="61" fillId="0" borderId="2" xfId="1" applyNumberFormat="1" applyFont="1" applyBorder="1" applyAlignment="1">
      <alignment horizontal="left"/>
    </xf>
    <xf numFmtId="173" fontId="61" fillId="0" borderId="2" xfId="1" quotePrefix="1" applyNumberFormat="1" applyFont="1" applyBorder="1" applyAlignment="1">
      <alignment horizontal="center"/>
    </xf>
    <xf numFmtId="168" fontId="61" fillId="0" borderId="2" xfId="1" applyFont="1" applyFill="1" applyBorder="1"/>
    <xf numFmtId="0" fontId="79" fillId="0" borderId="0" xfId="0" applyFont="1" applyFill="1"/>
    <xf numFmtId="2" fontId="61" fillId="0" borderId="0" xfId="0" applyNumberFormat="1" applyFont="1" applyBorder="1" applyAlignment="1">
      <alignment horizontal="left"/>
    </xf>
    <xf numFmtId="167" fontId="62" fillId="0" borderId="0" xfId="0" applyNumberFormat="1" applyFont="1" applyBorder="1"/>
    <xf numFmtId="0" fontId="63" fillId="0" borderId="0" xfId="0" applyFont="1" applyAlignment="1">
      <alignment horizontal="center"/>
    </xf>
    <xf numFmtId="0" fontId="61" fillId="0" borderId="2" xfId="3" quotePrefix="1" applyNumberFormat="1" applyFont="1" applyFill="1" applyBorder="1" applyAlignment="1">
      <alignment horizontal="center"/>
    </xf>
    <xf numFmtId="166" fontId="70" fillId="0" borderId="0" xfId="3" applyNumberFormat="1" applyFont="1" applyFill="1"/>
    <xf numFmtId="173" fontId="61" fillId="0" borderId="0" xfId="3" applyNumberFormat="1" applyFont="1" applyFill="1" applyBorder="1"/>
    <xf numFmtId="173" fontId="61" fillId="0" borderId="0" xfId="0" applyNumberFormat="1" applyFont="1" applyFill="1" applyBorder="1"/>
    <xf numFmtId="167" fontId="62" fillId="0" borderId="0" xfId="0" applyNumberFormat="1" applyFont="1" applyFill="1" applyBorder="1"/>
    <xf numFmtId="0" fontId="62" fillId="0" borderId="4" xfId="0" applyFont="1" applyFill="1" applyBorder="1"/>
    <xf numFmtId="0" fontId="62" fillId="0" borderId="0" xfId="3" applyFont="1" applyFill="1"/>
    <xf numFmtId="0" fontId="17" fillId="0" borderId="0" xfId="3" applyFont="1"/>
    <xf numFmtId="166" fontId="4" fillId="0" borderId="0" xfId="3" applyNumberFormat="1" applyFont="1" applyFill="1"/>
    <xf numFmtId="172" fontId="82" fillId="0" borderId="0" xfId="3" applyNumberFormat="1" applyFont="1" applyFill="1" applyBorder="1" applyAlignment="1"/>
    <xf numFmtId="0" fontId="10" fillId="0" borderId="0" xfId="3" applyFont="1" applyFill="1" applyBorder="1"/>
    <xf numFmtId="0" fontId="82" fillId="0" borderId="0" xfId="3" applyFont="1" applyFill="1" applyBorder="1"/>
    <xf numFmtId="173" fontId="61" fillId="0" borderId="0" xfId="1" quotePrefix="1" applyNumberFormat="1" applyFont="1" applyFill="1" applyBorder="1" applyAlignment="1">
      <alignment horizontal="center"/>
    </xf>
    <xf numFmtId="173" fontId="61" fillId="0" borderId="0" xfId="1" applyNumberFormat="1" applyFont="1" applyFill="1" applyAlignment="1">
      <alignment horizontal="center"/>
    </xf>
    <xf numFmtId="173" fontId="61" fillId="0" borderId="0" xfId="1" quotePrefix="1" applyNumberFormat="1" applyFont="1" applyFill="1" applyAlignment="1">
      <alignment horizontal="center"/>
    </xf>
    <xf numFmtId="173" fontId="61" fillId="0" borderId="0" xfId="1" applyNumberFormat="1" applyFont="1" applyBorder="1" applyAlignment="1">
      <alignment horizontal="center"/>
    </xf>
    <xf numFmtId="173" fontId="62" fillId="0" borderId="1" xfId="1" applyNumberFormat="1" applyFont="1" applyBorder="1" applyAlignment="1">
      <alignment horizontal="left"/>
    </xf>
    <xf numFmtId="173" fontId="61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1" fillId="0" borderId="0" xfId="3" applyFont="1" applyFill="1"/>
    <xf numFmtId="0" fontId="77" fillId="0" borderId="0" xfId="0" applyFont="1" applyBorder="1" applyAlignment="1">
      <alignment horizontal="center"/>
    </xf>
    <xf numFmtId="0" fontId="77" fillId="0" borderId="0" xfId="0" applyFont="1" applyBorder="1"/>
    <xf numFmtId="0" fontId="77" fillId="0" borderId="1" xfId="0" applyFont="1" applyBorder="1" applyAlignment="1">
      <alignment horizontal="left"/>
    </xf>
    <xf numFmtId="0" fontId="77" fillId="0" borderId="1" xfId="0" applyFont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/>
    </xf>
    <xf numFmtId="0" fontId="77" fillId="0" borderId="0" xfId="0" applyFont="1" applyBorder="1" applyAlignment="1"/>
    <xf numFmtId="0" fontId="78" fillId="0" borderId="0" xfId="0" applyFont="1" applyFill="1" applyBorder="1" applyAlignment="1">
      <alignment horizontal="centerContinuous"/>
    </xf>
    <xf numFmtId="0" fontId="77" fillId="0" borderId="0" xfId="0" applyFont="1" applyFill="1" applyBorder="1" applyAlignment="1">
      <alignment horizontal="centerContinuous"/>
    </xf>
    <xf numFmtId="0" fontId="77" fillId="0" borderId="0" xfId="0" applyFont="1" applyFill="1" applyBorder="1"/>
    <xf numFmtId="0" fontId="77" fillId="0" borderId="0" xfId="0" applyFont="1"/>
    <xf numFmtId="0" fontId="77" fillId="0" borderId="0" xfId="0" quotePrefix="1" applyFont="1" applyBorder="1" applyAlignment="1">
      <alignment horizontal="center"/>
    </xf>
    <xf numFmtId="176" fontId="77" fillId="0" borderId="0" xfId="1" applyNumberFormat="1" applyFont="1" applyFill="1"/>
    <xf numFmtId="176" fontId="77" fillId="0" borderId="0" xfId="1" applyNumberFormat="1" applyFont="1" applyFill="1" applyBorder="1"/>
    <xf numFmtId="0" fontId="77" fillId="0" borderId="0" xfId="0" applyFont="1" applyFill="1"/>
    <xf numFmtId="0" fontId="77" fillId="0" borderId="4" xfId="0" applyFont="1" applyFill="1" applyBorder="1"/>
    <xf numFmtId="0" fontId="77" fillId="0" borderId="4" xfId="0" applyFont="1" applyBorder="1"/>
    <xf numFmtId="176" fontId="77" fillId="0" borderId="4" xfId="1" applyNumberFormat="1" applyFont="1" applyFill="1" applyBorder="1"/>
    <xf numFmtId="0" fontId="77" fillId="0" borderId="2" xfId="0" applyFont="1" applyFill="1" applyBorder="1"/>
    <xf numFmtId="0" fontId="77" fillId="0" borderId="2" xfId="0" applyFont="1" applyBorder="1"/>
    <xf numFmtId="176" fontId="77" fillId="0" borderId="2" xfId="1" applyNumberFormat="1" applyFont="1" applyFill="1" applyBorder="1"/>
    <xf numFmtId="0" fontId="77" fillId="0" borderId="0" xfId="0" applyFont="1" applyAlignment="1">
      <alignment horizontal="left"/>
    </xf>
    <xf numFmtId="0" fontId="83" fillId="0" borderId="1" xfId="0" applyFont="1" applyFill="1" applyBorder="1"/>
    <xf numFmtId="0" fontId="83" fillId="0" borderId="3" xfId="0" applyFont="1" applyBorder="1"/>
    <xf numFmtId="0" fontId="83" fillId="0" borderId="0" xfId="0" applyFont="1" applyBorder="1"/>
    <xf numFmtId="176" fontId="83" fillId="0" borderId="3" xfId="1" applyNumberFormat="1" applyFont="1" applyFill="1" applyBorder="1"/>
    <xf numFmtId="176" fontId="83" fillId="0" borderId="0" xfId="1" applyNumberFormat="1" applyFont="1" applyFill="1" applyBorder="1"/>
    <xf numFmtId="176" fontId="78" fillId="0" borderId="0" xfId="1" applyNumberFormat="1" applyFont="1" applyFill="1"/>
    <xf numFmtId="0" fontId="77" fillId="0" borderId="0" xfId="0" applyFont="1" applyAlignment="1">
      <alignment horizontal="center"/>
    </xf>
    <xf numFmtId="0" fontId="77" fillId="0" borderId="0" xfId="0" quotePrefix="1" applyFont="1" applyAlignment="1">
      <alignment horizontal="center"/>
    </xf>
    <xf numFmtId="176" fontId="77" fillId="0" borderId="0" xfId="1" applyNumberFormat="1" applyFont="1" applyFill="1" applyAlignment="1">
      <alignment horizontal="left"/>
    </xf>
    <xf numFmtId="0" fontId="84" fillId="0" borderId="0" xfId="0" applyFont="1" applyFill="1" applyBorder="1"/>
    <xf numFmtId="179" fontId="70" fillId="0" borderId="0" xfId="3" applyNumberFormat="1" applyFont="1" applyFill="1" applyBorder="1"/>
    <xf numFmtId="0" fontId="66" fillId="0" borderId="0" xfId="0" applyFont="1" applyBorder="1" applyAlignment="1">
      <alignment horizontal="center"/>
    </xf>
    <xf numFmtId="0" fontId="66" fillId="0" borderId="0" xfId="0" applyFont="1" applyBorder="1"/>
    <xf numFmtId="0" fontId="66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8" fontId="69" fillId="0" borderId="0" xfId="1" applyNumberFormat="1" applyFont="1" applyFill="1" applyBorder="1" applyAlignment="1"/>
    <xf numFmtId="0" fontId="62" fillId="0" borderId="1" xfId="3" applyFont="1" applyFill="1" applyBorder="1"/>
    <xf numFmtId="176" fontId="69" fillId="0" borderId="2" xfId="1" applyNumberFormat="1" applyFont="1" applyFill="1" applyBorder="1" applyAlignment="1"/>
    <xf numFmtId="176" fontId="61" fillId="21" borderId="0" xfId="1" applyNumberFormat="1" applyFont="1" applyFill="1"/>
    <xf numFmtId="0" fontId="69" fillId="21" borderId="0" xfId="3" applyFont="1" applyFill="1" applyBorder="1"/>
    <xf numFmtId="176" fontId="61" fillId="21" borderId="0" xfId="1" applyNumberFormat="1" applyFont="1" applyFill="1" applyBorder="1"/>
    <xf numFmtId="0" fontId="61" fillId="21" borderId="0" xfId="3" applyFont="1" applyFill="1" applyBorder="1"/>
    <xf numFmtId="176" fontId="62" fillId="21" borderId="4" xfId="1" applyNumberFormat="1" applyFont="1" applyFill="1" applyBorder="1"/>
    <xf numFmtId="176" fontId="61" fillId="21" borderId="0" xfId="1" applyNumberFormat="1" applyFont="1" applyFill="1" applyAlignment="1"/>
    <xf numFmtId="176" fontId="62" fillId="0" borderId="3" xfId="303" applyNumberFormat="1" applyFont="1" applyFill="1" applyBorder="1"/>
    <xf numFmtId="176" fontId="61" fillId="0" borderId="4" xfId="303" applyNumberFormat="1" applyFont="1" applyFill="1" applyBorder="1"/>
    <xf numFmtId="176" fontId="61" fillId="21" borderId="0" xfId="303" applyNumberFormat="1" applyFont="1" applyFill="1"/>
    <xf numFmtId="176" fontId="61" fillId="0" borderId="0" xfId="303" applyNumberFormat="1" applyFont="1" applyFill="1"/>
    <xf numFmtId="176" fontId="68" fillId="0" borderId="0" xfId="303" applyNumberFormat="1" applyFont="1" applyFill="1" applyBorder="1"/>
    <xf numFmtId="176" fontId="61" fillId="0" borderId="0" xfId="303" applyNumberFormat="1" applyFont="1" applyFill="1" applyBorder="1"/>
    <xf numFmtId="168" fontId="61" fillId="21" borderId="0" xfId="1" applyNumberFormat="1" applyFont="1" applyFill="1" applyAlignment="1"/>
    <xf numFmtId="176" fontId="61" fillId="21" borderId="0" xfId="121" applyNumberFormat="1" applyFont="1" applyFill="1"/>
    <xf numFmtId="176" fontId="69" fillId="21" borderId="0" xfId="1" applyNumberFormat="1" applyFont="1" applyFill="1" applyBorder="1" applyAlignment="1"/>
    <xf numFmtId="167" fontId="61" fillId="21" borderId="0" xfId="2" applyNumberFormat="1" applyFont="1" applyFill="1" applyBorder="1"/>
    <xf numFmtId="173" fontId="62" fillId="21" borderId="0" xfId="1" applyNumberFormat="1" applyFont="1" applyFill="1" applyBorder="1" applyAlignment="1">
      <alignment horizontal="left"/>
    </xf>
    <xf numFmtId="176" fontId="61" fillId="21" borderId="2" xfId="1" applyNumberFormat="1" applyFont="1" applyFill="1" applyBorder="1" applyAlignment="1"/>
    <xf numFmtId="172" fontId="62" fillId="21" borderId="0" xfId="3" applyNumberFormat="1" applyFont="1" applyFill="1"/>
    <xf numFmtId="0" fontId="62" fillId="21" borderId="0" xfId="3" applyFont="1" applyFill="1"/>
    <xf numFmtId="173" fontId="61" fillId="21" borderId="0" xfId="3" applyNumberFormat="1" applyFont="1" applyFill="1" applyBorder="1"/>
    <xf numFmtId="166" fontId="70" fillId="21" borderId="0" xfId="3" applyNumberFormat="1" applyFont="1" applyFill="1" applyBorder="1"/>
    <xf numFmtId="0" fontId="78" fillId="21" borderId="0" xfId="3" applyFont="1" applyFill="1" applyBorder="1"/>
    <xf numFmtId="0" fontId="77" fillId="21" borderId="0" xfId="3" applyFont="1" applyFill="1" applyBorder="1"/>
    <xf numFmtId="0" fontId="66" fillId="21" borderId="1" xfId="0" applyFont="1" applyFill="1" applyBorder="1"/>
    <xf numFmtId="0" fontId="66" fillId="21" borderId="0" xfId="0" applyFont="1" applyFill="1" applyBorder="1"/>
    <xf numFmtId="0" fontId="61" fillId="21" borderId="1" xfId="3" applyFont="1" applyFill="1" applyBorder="1"/>
    <xf numFmtId="41" fontId="61" fillId="21" borderId="0" xfId="3" applyNumberFormat="1" applyFont="1" applyFill="1" applyBorder="1" applyAlignment="1">
      <alignment horizontal="center"/>
    </xf>
    <xf numFmtId="0" fontId="61" fillId="21" borderId="0" xfId="3" applyNumberFormat="1" applyFont="1" applyFill="1" applyBorder="1" applyAlignment="1">
      <alignment horizontal="center"/>
    </xf>
    <xf numFmtId="0" fontId="64" fillId="21" borderId="0" xfId="3" applyFont="1" applyFill="1" applyBorder="1" applyAlignment="1"/>
    <xf numFmtId="176" fontId="61" fillId="21" borderId="0" xfId="1" applyNumberFormat="1" applyFont="1" applyFill="1" applyBorder="1" applyAlignment="1"/>
    <xf numFmtId="168" fontId="61" fillId="21" borderId="0" xfId="1" applyNumberFormat="1" applyFont="1" applyFill="1" applyBorder="1" applyAlignment="1"/>
    <xf numFmtId="166" fontId="61" fillId="21" borderId="0" xfId="0" applyNumberFormat="1" applyFont="1" applyFill="1" applyBorder="1"/>
    <xf numFmtId="0" fontId="3" fillId="21" borderId="0" xfId="3" applyFont="1" applyFill="1"/>
    <xf numFmtId="0" fontId="69" fillId="0" borderId="0" xfId="3" applyFont="1" applyFill="1" applyBorder="1" applyAlignment="1"/>
    <xf numFmtId="41" fontId="61" fillId="0" borderId="2" xfId="3" applyNumberFormat="1" applyFont="1" applyFill="1" applyBorder="1" applyAlignment="1">
      <alignment horizontal="center"/>
    </xf>
    <xf numFmtId="41" fontId="61" fillId="0" borderId="0" xfId="3" applyNumberFormat="1" applyFont="1" applyBorder="1" applyAlignment="1">
      <alignment horizontal="center"/>
    </xf>
    <xf numFmtId="168" fontId="61" fillId="0" borderId="0" xfId="1" applyNumberFormat="1" applyFont="1" applyFill="1" applyAlignment="1"/>
    <xf numFmtId="0" fontId="77" fillId="0" borderId="6" xfId="0" applyFont="1" applyBorder="1" applyAlignment="1"/>
    <xf numFmtId="168" fontId="61" fillId="0" borderId="0" xfId="1" applyNumberFormat="1" applyFont="1" applyFill="1"/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 indent="1"/>
    </xf>
    <xf numFmtId="0" fontId="63" fillId="0" borderId="0" xfId="3" applyFont="1" applyAlignment="1">
      <alignment horizontal="left"/>
    </xf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61" fillId="0" borderId="4" xfId="3" applyFont="1" applyFill="1" applyBorder="1" applyAlignment="1">
      <alignment horizontal="center"/>
    </xf>
    <xf numFmtId="176" fontId="61" fillId="0" borderId="0" xfId="3" applyNumberFormat="1" applyFont="1" applyFill="1" applyBorder="1"/>
    <xf numFmtId="180" fontId="61" fillId="0" borderId="0" xfId="3" applyNumberFormat="1" applyFont="1" applyFill="1" applyBorder="1"/>
    <xf numFmtId="176" fontId="62" fillId="21" borderId="4" xfId="3" applyNumberFormat="1" applyFont="1" applyFill="1" applyBorder="1"/>
    <xf numFmtId="176" fontId="62" fillId="0" borderId="4" xfId="3" applyNumberFormat="1" applyFont="1" applyFill="1" applyBorder="1"/>
    <xf numFmtId="168" fontId="61" fillId="0" borderId="0" xfId="3" applyNumberFormat="1" applyFont="1" applyFill="1" applyBorder="1"/>
    <xf numFmtId="176" fontId="61" fillId="0" borderId="2" xfId="3" applyNumberFormat="1" applyFont="1" applyFill="1" applyBorder="1"/>
    <xf numFmtId="174" fontId="70" fillId="0" borderId="0" xfId="3" applyNumberFormat="1" applyFont="1" applyFill="1" applyBorder="1"/>
    <xf numFmtId="176" fontId="61" fillId="0" borderId="0" xfId="1" applyNumberFormat="1" applyFont="1" applyBorder="1" applyAlignment="1">
      <alignment horizontal="left"/>
    </xf>
    <xf numFmtId="176" fontId="62" fillId="0" borderId="0" xfId="1" applyNumberFormat="1" applyFont="1" applyBorder="1" applyAlignment="1">
      <alignment horizontal="left"/>
    </xf>
    <xf numFmtId="176" fontId="61" fillId="0" borderId="0" xfId="1" applyNumberFormat="1" applyFont="1" applyFill="1" applyBorder="1" applyAlignment="1">
      <alignment horizontal="left"/>
    </xf>
    <xf numFmtId="176" fontId="11" fillId="0" borderId="0" xfId="1" applyNumberFormat="1" applyFont="1" applyFill="1"/>
    <xf numFmtId="0" fontId="24" fillId="0" borderId="0" xfId="3" quotePrefix="1" applyFont="1" applyFill="1"/>
    <xf numFmtId="180" fontId="61" fillId="0" borderId="0" xfId="3" applyNumberFormat="1" applyFont="1" applyFill="1"/>
    <xf numFmtId="176" fontId="61" fillId="0" borderId="2" xfId="303" applyNumberFormat="1" applyFont="1" applyFill="1" applyBorder="1"/>
    <xf numFmtId="176" fontId="61" fillId="0" borderId="2" xfId="1" applyNumberFormat="1" applyFont="1" applyFill="1" applyBorder="1" applyAlignment="1">
      <alignment horizontal="left"/>
    </xf>
    <xf numFmtId="0" fontId="66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41" fontId="61" fillId="0" borderId="0" xfId="3" applyNumberFormat="1" applyFont="1" applyFill="1" applyBorder="1" applyAlignment="1">
      <alignment horizontal="center"/>
    </xf>
    <xf numFmtId="180" fontId="61" fillId="0" borderId="2" xfId="3" applyNumberFormat="1" applyFont="1" applyFill="1" applyBorder="1"/>
    <xf numFmtId="0" fontId="62" fillId="0" borderId="2" xfId="3" applyFont="1" applyFill="1" applyBorder="1"/>
    <xf numFmtId="0" fontId="74" fillId="0" borderId="0" xfId="3" applyFont="1" applyFill="1" applyBorder="1"/>
    <xf numFmtId="0" fontId="61" fillId="0" borderId="4" xfId="3" applyFont="1" applyFill="1" applyBorder="1"/>
    <xf numFmtId="41" fontId="61" fillId="0" borderId="2" xfId="3" applyNumberFormat="1" applyFont="1" applyFill="1" applyBorder="1" applyAlignment="1"/>
    <xf numFmtId="0" fontId="75" fillId="0" borderId="0" xfId="0" applyFont="1" applyFill="1"/>
    <xf numFmtId="41" fontId="61" fillId="0" borderId="0" xfId="3" applyNumberFormat="1" applyFont="1" applyFill="1" applyBorder="1" applyAlignment="1"/>
    <xf numFmtId="0" fontId="17" fillId="0" borderId="0" xfId="3" applyFont="1" applyFill="1"/>
    <xf numFmtId="0" fontId="70" fillId="0" borderId="0" xfId="3" applyFont="1" applyFill="1"/>
    <xf numFmtId="176" fontId="61" fillId="0" borderId="0" xfId="3" applyNumberFormat="1" applyFont="1" applyFill="1"/>
    <xf numFmtId="0" fontId="65" fillId="0" borderId="0" xfId="3" applyFont="1" applyFill="1"/>
    <xf numFmtId="0" fontId="61" fillId="0" borderId="0" xfId="3" applyNumberFormat="1" applyFont="1" applyFill="1" applyBorder="1" applyAlignment="1">
      <alignment horizontal="center"/>
    </xf>
    <xf numFmtId="0" fontId="12" fillId="0" borderId="0" xfId="3" applyFont="1" applyFill="1"/>
    <xf numFmtId="0" fontId="4" fillId="0" borderId="0" xfId="3" applyFont="1" applyFill="1"/>
    <xf numFmtId="0" fontId="3" fillId="0" borderId="1" xfId="3" applyFont="1" applyFill="1" applyBorder="1"/>
    <xf numFmtId="166" fontId="64" fillId="0" borderId="0" xfId="3" applyNumberFormat="1" applyFont="1" applyFill="1" applyAlignment="1"/>
    <xf numFmtId="166" fontId="64" fillId="0" borderId="0" xfId="3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66" fillId="0" borderId="0" xfId="3" applyFont="1" applyFill="1" applyBorder="1" applyAlignment="1">
      <alignment horizontal="left"/>
    </xf>
    <xf numFmtId="0" fontId="72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70" fillId="0" borderId="0" xfId="3" applyFont="1" applyFill="1" applyBorder="1"/>
    <xf numFmtId="0" fontId="18" fillId="0" borderId="0" xfId="3" applyFont="1" applyFill="1" applyAlignment="1"/>
    <xf numFmtId="0" fontId="81" fillId="0" borderId="0" xfId="3" applyFont="1" applyFill="1" applyBorder="1"/>
    <xf numFmtId="0" fontId="82" fillId="0" borderId="0" xfId="3" applyFont="1" applyFill="1" applyBorder="1" applyAlignment="1"/>
    <xf numFmtId="172" fontId="3" fillId="0" borderId="0" xfId="3" applyNumberFormat="1" applyFont="1" applyFill="1" applyBorder="1"/>
    <xf numFmtId="0" fontId="61" fillId="0" borderId="0" xfId="3" applyFont="1" applyFill="1" applyBorder="1" applyAlignment="1"/>
    <xf numFmtId="0" fontId="11" fillId="0" borderId="0" xfId="3" applyFont="1" applyFill="1"/>
    <xf numFmtId="172" fontId="31" fillId="0" borderId="0" xfId="3" applyNumberFormat="1" applyFont="1" applyFill="1" applyBorder="1"/>
    <xf numFmtId="0" fontId="64" fillId="0" borderId="0" xfId="3" applyFont="1" applyFill="1" applyAlignment="1"/>
    <xf numFmtId="166" fontId="11" fillId="0" borderId="0" xfId="3" applyNumberFormat="1" applyFont="1" applyFill="1"/>
    <xf numFmtId="166" fontId="24" fillId="0" borderId="0" xfId="3" applyNumberFormat="1" applyFont="1" applyFill="1" applyBorder="1" applyAlignment="1">
      <alignment horizontal="left"/>
    </xf>
    <xf numFmtId="0" fontId="24" fillId="0" borderId="0" xfId="3" applyFont="1" applyFill="1" applyAlignment="1">
      <alignment horizontal="left"/>
    </xf>
    <xf numFmtId="0" fontId="80" fillId="0" borderId="0" xfId="3" applyFont="1" applyFill="1"/>
    <xf numFmtId="175" fontId="70" fillId="0" borderId="0" xfId="3" applyNumberFormat="1" applyFont="1" applyFill="1" applyBorder="1"/>
    <xf numFmtId="166" fontId="8" fillId="0" borderId="0" xfId="3" applyNumberFormat="1" applyFont="1" applyFill="1"/>
    <xf numFmtId="173" fontId="4" fillId="0" borderId="0" xfId="3" applyNumberFormat="1" applyFont="1" applyFill="1"/>
    <xf numFmtId="168" fontId="61" fillId="0" borderId="0" xfId="1" applyFont="1" applyFill="1" applyBorder="1"/>
    <xf numFmtId="0" fontId="63" fillId="0" borderId="0" xfId="0" applyFont="1" applyFill="1" applyAlignment="1">
      <alignment horizontal="center"/>
    </xf>
    <xf numFmtId="173" fontId="3" fillId="0" borderId="0" xfId="3" applyNumberFormat="1" applyFont="1" applyFill="1" applyBorder="1"/>
    <xf numFmtId="173" fontId="70" fillId="0" borderId="0" xfId="3" applyNumberFormat="1" applyFont="1" applyFill="1"/>
    <xf numFmtId="173" fontId="61" fillId="0" borderId="0" xfId="3" applyNumberFormat="1" applyFont="1" applyFill="1"/>
    <xf numFmtId="0" fontId="71" fillId="0" borderId="0" xfId="3" applyFont="1" applyFill="1" applyAlignment="1">
      <alignment wrapText="1"/>
    </xf>
    <xf numFmtId="176" fontId="61" fillId="0" borderId="0" xfId="1" quotePrefix="1" applyNumberFormat="1" applyFont="1" applyFill="1"/>
    <xf numFmtId="0" fontId="24" fillId="0" borderId="0" xfId="3" quotePrefix="1" applyFont="1" applyFill="1" applyBorder="1"/>
    <xf numFmtId="0" fontId="2" fillId="0" borderId="0" xfId="3" applyFill="1" applyBorder="1"/>
    <xf numFmtId="176" fontId="0" fillId="0" borderId="0" xfId="1" applyNumberFormat="1" applyFont="1"/>
    <xf numFmtId="176" fontId="85" fillId="0" borderId="0" xfId="1" applyNumberFormat="1" applyFont="1" applyBorder="1"/>
    <xf numFmtId="0" fontId="3" fillId="0" borderId="4" xfId="3" applyFont="1" applyBorder="1"/>
    <xf numFmtId="176" fontId="85" fillId="0" borderId="4" xfId="1" applyNumberFormat="1" applyFont="1" applyBorder="1"/>
    <xf numFmtId="176" fontId="86" fillId="0" borderId="0" xfId="1" applyNumberFormat="1" applyFont="1"/>
    <xf numFmtId="176" fontId="86" fillId="0" borderId="0" xfId="1" applyNumberFormat="1" applyFont="1" applyFill="1"/>
    <xf numFmtId="176" fontId="86" fillId="0" borderId="0" xfId="1" applyNumberFormat="1" applyFont="1" applyBorder="1"/>
    <xf numFmtId="176" fontId="87" fillId="0" borderId="4" xfId="1" applyNumberFormat="1" applyFont="1" applyFill="1" applyBorder="1"/>
    <xf numFmtId="172" fontId="87" fillId="0" borderId="0" xfId="3" applyNumberFormat="1" applyFont="1" applyFill="1"/>
    <xf numFmtId="0" fontId="87" fillId="0" borderId="0" xfId="3" applyFont="1" applyFill="1"/>
    <xf numFmtId="176" fontId="87" fillId="0" borderId="4" xfId="3" applyNumberFormat="1" applyFont="1" applyFill="1" applyBorder="1"/>
    <xf numFmtId="176" fontId="87" fillId="0" borderId="0" xfId="1" applyNumberFormat="1" applyFont="1"/>
    <xf numFmtId="176" fontId="87" fillId="0" borderId="0" xfId="1" applyNumberFormat="1" applyFont="1" applyFill="1"/>
    <xf numFmtId="41" fontId="61" fillId="0" borderId="5" xfId="3" applyNumberFormat="1" applyFont="1" applyFill="1" applyBorder="1" applyAlignment="1">
      <alignment horizontal="center"/>
    </xf>
    <xf numFmtId="41" fontId="61" fillId="0" borderId="2" xfId="3" applyNumberFormat="1" applyFont="1" applyFill="1" applyBorder="1" applyAlignment="1">
      <alignment horizontal="center"/>
    </xf>
    <xf numFmtId="176" fontId="61" fillId="0" borderId="0" xfId="1" applyNumberFormat="1" applyFont="1" applyFill="1" applyBorder="1" applyAlignment="1"/>
    <xf numFmtId="0" fontId="74" fillId="0" borderId="2" xfId="3" applyFont="1" applyFill="1" applyBorder="1"/>
    <xf numFmtId="176" fontId="62" fillId="0" borderId="2" xfId="1" applyNumberFormat="1" applyFont="1" applyFill="1" applyBorder="1" applyAlignment="1"/>
    <xf numFmtId="176" fontId="74" fillId="0" borderId="0" xfId="1" applyNumberFormat="1" applyFont="1" applyFill="1" applyBorder="1" applyAlignment="1"/>
    <xf numFmtId="168" fontId="62" fillId="0" borderId="0" xfId="1" applyFont="1" applyFill="1" applyBorder="1"/>
    <xf numFmtId="175" fontId="69" fillId="0" borderId="0" xfId="3" applyNumberFormat="1" applyFont="1" applyFill="1" applyBorder="1"/>
    <xf numFmtId="41" fontId="61" fillId="0" borderId="1" xfId="3" applyNumberFormat="1" applyFont="1" applyFill="1" applyBorder="1"/>
    <xf numFmtId="9" fontId="61" fillId="0" borderId="0" xfId="1" applyNumberFormat="1" applyFont="1" applyFill="1" applyAlignment="1"/>
    <xf numFmtId="9" fontId="64" fillId="0" borderId="0" xfId="3" applyNumberFormat="1" applyFont="1" applyFill="1" applyBorder="1" applyAlignment="1"/>
    <xf numFmtId="9" fontId="61" fillId="0" borderId="0" xfId="3" applyNumberFormat="1" applyFont="1" applyFill="1" applyBorder="1" applyAlignment="1"/>
    <xf numFmtId="9" fontId="69" fillId="0" borderId="0" xfId="1" applyNumberFormat="1" applyFont="1" applyFill="1" applyAlignment="1"/>
    <xf numFmtId="9" fontId="61" fillId="0" borderId="0" xfId="1" applyNumberFormat="1" applyFont="1" applyFill="1" applyBorder="1" applyAlignment="1"/>
    <xf numFmtId="9" fontId="69" fillId="0" borderId="0" xfId="1" applyNumberFormat="1" applyFont="1" applyFill="1" applyBorder="1" applyAlignment="1"/>
    <xf numFmtId="9" fontId="61" fillId="0" borderId="2" xfId="1" applyNumberFormat="1" applyFont="1" applyFill="1" applyBorder="1" applyAlignment="1"/>
    <xf numFmtId="0" fontId="61" fillId="0" borderId="15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/>
    </xf>
    <xf numFmtId="0" fontId="64" fillId="0" borderId="2" xfId="0" applyFont="1" applyFill="1" applyBorder="1" applyAlignment="1"/>
    <xf numFmtId="0" fontId="61" fillId="0" borderId="2" xfId="0" applyFont="1" applyFill="1" applyBorder="1" applyAlignment="1">
      <alignment horizontal="center"/>
    </xf>
    <xf numFmtId="0" fontId="61" fillId="0" borderId="0" xfId="0" applyFont="1" applyFill="1" applyBorder="1" applyAlignment="1"/>
    <xf numFmtId="0" fontId="70" fillId="0" borderId="0" xfId="0" applyFont="1" applyFill="1" applyBorder="1" applyAlignment="1">
      <alignment horizontal="center"/>
    </xf>
    <xf numFmtId="173" fontId="61" fillId="0" borderId="2" xfId="1" applyNumberFormat="1" applyFont="1" applyFill="1" applyBorder="1" applyAlignment="1">
      <alignment horizontal="left"/>
    </xf>
    <xf numFmtId="173" fontId="61" fillId="0" borderId="2" xfId="1" quotePrefix="1" applyNumberFormat="1" applyFont="1" applyFill="1" applyBorder="1" applyAlignment="1">
      <alignment horizontal="center"/>
    </xf>
    <xf numFmtId="173" fontId="62" fillId="0" borderId="0" xfId="1" applyNumberFormat="1" applyFont="1" applyFill="1" applyBorder="1" applyAlignment="1">
      <alignment horizontal="center"/>
    </xf>
    <xf numFmtId="176" fontId="62" fillId="0" borderId="15" xfId="1" applyNumberFormat="1" applyFont="1" applyFill="1" applyBorder="1"/>
    <xf numFmtId="172" fontId="74" fillId="0" borderId="0" xfId="3" applyNumberFormat="1" applyFont="1" applyFill="1" applyBorder="1"/>
    <xf numFmtId="41" fontId="61" fillId="0" borderId="0" xfId="3" applyNumberFormat="1" applyFont="1" applyFill="1"/>
    <xf numFmtId="0" fontId="61" fillId="0" borderId="0" xfId="0" applyFont="1" applyFill="1"/>
    <xf numFmtId="176" fontId="62" fillId="0" borderId="0" xfId="3" applyNumberFormat="1" applyFont="1" applyFill="1" applyBorder="1"/>
    <xf numFmtId="0" fontId="60" fillId="0" borderId="0" xfId="0" applyFont="1" applyFill="1" applyBorder="1" applyAlignment="1">
      <alignment horizontal="left" vertical="center"/>
    </xf>
    <xf numFmtId="0" fontId="60" fillId="0" borderId="4" xfId="0" applyFont="1" applyFill="1" applyBorder="1" applyAlignment="1">
      <alignment horizontal="left" vertical="center"/>
    </xf>
    <xf numFmtId="41" fontId="61" fillId="0" borderId="5" xfId="3" applyNumberFormat="1" applyFont="1" applyFill="1" applyBorder="1" applyAlignment="1"/>
    <xf numFmtId="176" fontId="62" fillId="0" borderId="0" xfId="1" applyNumberFormat="1" applyFont="1" applyFill="1" applyBorder="1" applyAlignment="1"/>
    <xf numFmtId="172" fontId="69" fillId="0" borderId="0" xfId="3" applyNumberFormat="1" applyFont="1" applyFill="1"/>
    <xf numFmtId="176" fontId="62" fillId="0" borderId="0" xfId="1" applyNumberFormat="1" applyFont="1" applyFill="1" applyAlignment="1">
      <alignment horizontal="left"/>
    </xf>
    <xf numFmtId="41" fontId="61" fillId="0" borderId="5" xfId="3" applyNumberFormat="1" applyFont="1" applyFill="1" applyBorder="1" applyAlignment="1">
      <alignment horizontal="center"/>
    </xf>
    <xf numFmtId="41" fontId="61" fillId="0" borderId="2" xfId="3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left"/>
    </xf>
    <xf numFmtId="166" fontId="86" fillId="0" borderId="0" xfId="0" applyNumberFormat="1" applyFont="1" applyFill="1" applyBorder="1"/>
    <xf numFmtId="166" fontId="86" fillId="21" borderId="0" xfId="0" applyNumberFormat="1" applyFont="1" applyFill="1" applyBorder="1"/>
    <xf numFmtId="0" fontId="88" fillId="0" borderId="0" xfId="0" applyFont="1" applyAlignment="1">
      <alignment horizontal="center"/>
    </xf>
    <xf numFmtId="0" fontId="86" fillId="0" borderId="0" xfId="3" applyFont="1"/>
    <xf numFmtId="0" fontId="86" fillId="21" borderId="0" xfId="3" applyFont="1" applyFill="1"/>
    <xf numFmtId="0" fontId="86" fillId="0" borderId="0" xfId="3" applyFont="1" applyBorder="1"/>
    <xf numFmtId="0" fontId="89" fillId="0" borderId="0" xfId="3" applyFont="1"/>
    <xf numFmtId="0" fontId="75" fillId="0" borderId="1" xfId="0" applyFont="1" applyFill="1" applyBorder="1"/>
    <xf numFmtId="41" fontId="61" fillId="0" borderId="0" xfId="3" applyNumberFormat="1" applyFont="1" applyFill="1" applyBorder="1" applyAlignment="1">
      <alignment horizontal="center"/>
    </xf>
    <xf numFmtId="0" fontId="61" fillId="0" borderId="5" xfId="3" applyFont="1" applyBorder="1" applyAlignment="1"/>
    <xf numFmtId="16" fontId="61" fillId="0" borderId="2" xfId="0" quotePrefix="1" applyNumberFormat="1" applyFont="1" applyBorder="1" applyAlignment="1"/>
    <xf numFmtId="0" fontId="2" fillId="0" borderId="4" xfId="3" applyFill="1" applyBorder="1"/>
    <xf numFmtId="0" fontId="18" fillId="0" borderId="0" xfId="3" applyFont="1" applyFill="1" applyBorder="1"/>
    <xf numFmtId="41" fontId="61" fillId="0" borderId="0" xfId="3" applyNumberFormat="1" applyFont="1" applyFill="1" applyBorder="1" applyAlignment="1">
      <alignment horizontal="center"/>
    </xf>
    <xf numFmtId="41" fontId="61" fillId="0" borderId="5" xfId="3" applyNumberFormat="1" applyFont="1" applyFill="1" applyBorder="1" applyAlignment="1">
      <alignment horizontal="center"/>
    </xf>
    <xf numFmtId="41" fontId="61" fillId="0" borderId="2" xfId="3" applyNumberFormat="1" applyFont="1" applyFill="1" applyBorder="1" applyAlignment="1">
      <alignment horizontal="center"/>
    </xf>
    <xf numFmtId="41" fontId="61" fillId="0" borderId="0" xfId="3" applyNumberFormat="1" applyFont="1" applyFill="1" applyBorder="1" applyAlignment="1">
      <alignment horizontal="center"/>
    </xf>
    <xf numFmtId="176" fontId="61" fillId="0" borderId="2" xfId="1" applyNumberFormat="1" applyFont="1" applyBorder="1" applyAlignment="1">
      <alignment horizontal="left"/>
    </xf>
    <xf numFmtId="41" fontId="61" fillId="0" borderId="5" xfId="3" applyNumberFormat="1" applyFont="1" applyFill="1" applyBorder="1" applyAlignment="1">
      <alignment horizontal="center"/>
    </xf>
    <xf numFmtId="41" fontId="61" fillId="0" borderId="0" xfId="3" applyNumberFormat="1" applyFont="1" applyFill="1" applyBorder="1" applyAlignment="1">
      <alignment horizontal="center"/>
    </xf>
    <xf numFmtId="0" fontId="3" fillId="0" borderId="1" xfId="3" applyFont="1" applyBorder="1"/>
    <xf numFmtId="41" fontId="61" fillId="0" borderId="0" xfId="3" applyNumberFormat="1" applyFont="1" applyFill="1" applyBorder="1" applyAlignment="1">
      <alignment horizontal="center"/>
    </xf>
    <xf numFmtId="41" fontId="61" fillId="0" borderId="5" xfId="3" applyNumberFormat="1" applyFont="1" applyFill="1" applyBorder="1" applyAlignment="1">
      <alignment horizontal="center"/>
    </xf>
    <xf numFmtId="176" fontId="61" fillId="0" borderId="0" xfId="393" quotePrefix="1" applyNumberFormat="1" applyFont="1" applyFill="1"/>
    <xf numFmtId="176" fontId="62" fillId="0" borderId="0" xfId="393" applyNumberFormat="1" applyFont="1" applyFill="1" applyBorder="1"/>
    <xf numFmtId="176" fontId="4" fillId="0" borderId="0" xfId="393" applyNumberFormat="1" applyFont="1" applyFill="1" applyBorder="1"/>
    <xf numFmtId="0" fontId="66" fillId="0" borderId="0" xfId="0" applyFont="1" applyAlignment="1">
      <alignment horizontal="center"/>
    </xf>
    <xf numFmtId="0" fontId="61" fillId="0" borderId="5" xfId="3" applyFont="1" applyBorder="1" applyAlignment="1">
      <alignment horizontal="center"/>
    </xf>
    <xf numFmtId="16" fontId="61" fillId="0" borderId="2" xfId="0" quotePrefix="1" applyNumberFormat="1" applyFont="1" applyBorder="1" applyAlignment="1">
      <alignment horizontal="center"/>
    </xf>
    <xf numFmtId="0" fontId="61" fillId="0" borderId="5" xfId="3" applyFont="1" applyBorder="1" applyAlignment="1">
      <alignment horizontal="center" wrapText="1"/>
    </xf>
    <xf numFmtId="0" fontId="61" fillId="0" borderId="2" xfId="3" applyFont="1" applyBorder="1" applyAlignment="1">
      <alignment horizontal="center"/>
    </xf>
    <xf numFmtId="0" fontId="77" fillId="0" borderId="6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1" fillId="0" borderId="2" xfId="3" applyFont="1" applyFill="1" applyBorder="1" applyAlignment="1">
      <alignment horizontal="center"/>
    </xf>
    <xf numFmtId="41" fontId="61" fillId="0" borderId="0" xfId="3" applyNumberFormat="1" applyFont="1" applyFill="1" applyBorder="1" applyAlignment="1">
      <alignment horizontal="center"/>
    </xf>
    <xf numFmtId="41" fontId="61" fillId="0" borderId="5" xfId="3" applyNumberFormat="1" applyFont="1" applyFill="1" applyBorder="1" applyAlignment="1">
      <alignment horizontal="center"/>
    </xf>
    <xf numFmtId="41" fontId="61" fillId="0" borderId="2" xfId="3" applyNumberFormat="1" applyFont="1" applyFill="1" applyBorder="1" applyAlignment="1">
      <alignment horizontal="center"/>
    </xf>
    <xf numFmtId="41" fontId="61" fillId="0" borderId="6" xfId="3" applyNumberFormat="1" applyFont="1" applyFill="1" applyBorder="1" applyAlignment="1">
      <alignment horizontal="center"/>
    </xf>
    <xf numFmtId="41" fontId="61" fillId="0" borderId="5" xfId="3" applyNumberFormat="1" applyFont="1" applyBorder="1" applyAlignment="1">
      <alignment horizontal="center"/>
    </xf>
  </cellXfs>
  <cellStyles count="394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10" xfId="39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66"/>
  <sheetViews>
    <sheetView showGridLines="0" tabSelected="1" zoomScaleNormal="100" workbookViewId="0">
      <selection sqref="A1:M1"/>
    </sheetView>
  </sheetViews>
  <sheetFormatPr defaultColWidth="9.140625" defaultRowHeight="12.75"/>
  <cols>
    <col min="1" max="1" width="2.5703125" style="1" customWidth="1"/>
    <col min="2" max="2" width="59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3.42578125" style="1" bestFit="1" customWidth="1"/>
    <col min="9" max="9" width="1.7109375" style="4" customWidth="1"/>
    <col min="10" max="10" width="11.85546875" style="4" customWidth="1"/>
    <col min="11" max="11" width="1.7109375" style="4" customWidth="1"/>
    <col min="12" max="12" width="15.5703125" style="1" customWidth="1"/>
    <col min="13" max="13" width="3.5703125" style="1" customWidth="1"/>
    <col min="14" max="14" width="1.140625" style="1" customWidth="1"/>
    <col min="15" max="15" width="13.42578125" style="1" bestFit="1" customWidth="1"/>
    <col min="16" max="16" width="1.140625" style="1" customWidth="1"/>
    <col min="17" max="17" width="10" style="1" customWidth="1"/>
    <col min="18" max="18" width="5" style="1" customWidth="1"/>
    <col min="19" max="20" width="9.140625" style="1" customWidth="1"/>
    <col min="21" max="16384" width="9.140625" style="1"/>
  </cols>
  <sheetData>
    <row r="1" spans="1:21" ht="18.75">
      <c r="A1" s="531" t="s">
        <v>211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104"/>
      <c r="O1" s="104"/>
      <c r="P1" s="104"/>
      <c r="Q1" s="9"/>
      <c r="R1" s="8"/>
      <c r="S1" s="8"/>
      <c r="T1" s="119"/>
    </row>
    <row r="2" spans="1:21" ht="11.25" customHeight="1" thickBot="1">
      <c r="A2" s="178"/>
      <c r="B2" s="178"/>
      <c r="C2" s="178"/>
      <c r="D2" s="178"/>
      <c r="E2" s="178"/>
      <c r="F2" s="192"/>
      <c r="G2" s="192"/>
      <c r="H2" s="193"/>
      <c r="I2" s="178"/>
      <c r="J2" s="178"/>
      <c r="K2" s="178"/>
      <c r="L2" s="192"/>
      <c r="M2" s="193"/>
      <c r="N2" s="106"/>
      <c r="O2" s="123"/>
      <c r="P2" s="83"/>
      <c r="Q2" s="20"/>
      <c r="R2" s="8"/>
      <c r="S2" s="8"/>
      <c r="T2" s="119"/>
    </row>
    <row r="3" spans="1:21" s="39" customFormat="1" ht="11.45" customHeight="1">
      <c r="A3" s="139"/>
      <c r="B3" s="139"/>
      <c r="C3" s="139"/>
      <c r="D3" s="139"/>
      <c r="E3" s="139"/>
      <c r="F3" s="532" t="s">
        <v>5</v>
      </c>
      <c r="G3" s="532"/>
      <c r="H3" s="532"/>
      <c r="I3" s="139"/>
      <c r="J3" s="534" t="s">
        <v>229</v>
      </c>
      <c r="K3" s="532"/>
      <c r="L3" s="532"/>
      <c r="M3" s="514"/>
      <c r="N3" s="42"/>
      <c r="O3" s="42"/>
      <c r="P3" s="43"/>
      <c r="Q3" s="43"/>
      <c r="R3" s="92"/>
    </row>
    <row r="4" spans="1:21" s="41" customFormat="1" ht="11.45" customHeight="1">
      <c r="A4" s="139"/>
      <c r="B4" s="139"/>
      <c r="C4" s="139"/>
      <c r="D4" s="152"/>
      <c r="E4" s="152"/>
      <c r="F4" s="533" t="s">
        <v>1</v>
      </c>
      <c r="G4" s="533"/>
      <c r="H4" s="533"/>
      <c r="I4" s="152"/>
      <c r="J4" s="535"/>
      <c r="K4" s="535"/>
      <c r="L4" s="535"/>
      <c r="M4" s="515"/>
      <c r="N4" s="42"/>
      <c r="O4" s="42"/>
      <c r="P4" s="109"/>
      <c r="Q4" s="44"/>
      <c r="R4" s="44"/>
    </row>
    <row r="5" spans="1:21" ht="11.45" customHeight="1" thickBot="1">
      <c r="A5" s="194" t="s">
        <v>103</v>
      </c>
      <c r="B5" s="180"/>
      <c r="C5" s="179"/>
      <c r="D5" s="180" t="s">
        <v>37</v>
      </c>
      <c r="E5" s="179"/>
      <c r="F5" s="181">
        <v>2016</v>
      </c>
      <c r="G5" s="179"/>
      <c r="H5" s="180">
        <v>2015</v>
      </c>
      <c r="I5" s="179"/>
      <c r="J5" s="181">
        <v>2016</v>
      </c>
      <c r="K5" s="179"/>
      <c r="L5" s="180">
        <v>2015</v>
      </c>
      <c r="M5" s="179"/>
      <c r="N5" s="93"/>
      <c r="O5" s="93"/>
      <c r="P5" s="123"/>
      <c r="Q5" s="7"/>
    </row>
    <row r="6" spans="1:21" ht="11.45" customHeight="1">
      <c r="A6" s="184"/>
      <c r="B6" s="179"/>
      <c r="C6" s="179"/>
      <c r="D6" s="179"/>
      <c r="E6" s="179"/>
      <c r="F6" s="182"/>
      <c r="G6" s="179"/>
      <c r="H6" s="195"/>
      <c r="I6" s="179"/>
      <c r="J6" s="179"/>
      <c r="K6" s="179"/>
      <c r="L6" s="195"/>
      <c r="M6" s="179"/>
      <c r="N6" s="93"/>
      <c r="O6" s="93"/>
      <c r="P6" s="123"/>
      <c r="Q6" s="7"/>
    </row>
    <row r="7" spans="1:21" ht="11.45" customHeight="1">
      <c r="A7" s="270" t="s">
        <v>16</v>
      </c>
      <c r="B7" s="270"/>
      <c r="C7" s="171"/>
      <c r="D7" s="289">
        <v>1</v>
      </c>
      <c r="E7" s="171"/>
      <c r="F7" s="400">
        <f>Notes!F9</f>
        <v>154.148</v>
      </c>
      <c r="G7" s="148"/>
      <c r="H7" s="188">
        <v>229.3</v>
      </c>
      <c r="I7" s="174"/>
      <c r="J7" s="401">
        <f>Notes!J9</f>
        <v>764.34800000000007</v>
      </c>
      <c r="K7" s="171"/>
      <c r="L7" s="188">
        <v>961.9</v>
      </c>
      <c r="M7" s="163"/>
      <c r="N7" s="93"/>
      <c r="O7" s="93"/>
      <c r="P7" s="93"/>
      <c r="Q7" s="12"/>
      <c r="R7" s="7"/>
    </row>
    <row r="8" spans="1:21" ht="11.45" customHeight="1">
      <c r="A8" s="171"/>
      <c r="B8" s="171"/>
      <c r="C8" s="171"/>
      <c r="D8" s="289"/>
      <c r="E8" s="171"/>
      <c r="F8" s="352"/>
      <c r="G8" s="148"/>
      <c r="H8" s="148"/>
      <c r="I8" s="174"/>
      <c r="J8" s="396"/>
      <c r="K8" s="171"/>
      <c r="L8" s="148"/>
      <c r="M8" s="163"/>
      <c r="N8" s="93"/>
      <c r="O8" s="93"/>
      <c r="P8" s="93"/>
      <c r="Q8" s="12"/>
      <c r="R8" s="7"/>
    </row>
    <row r="9" spans="1:21" ht="11.45" customHeight="1">
      <c r="A9" s="162" t="s">
        <v>38</v>
      </c>
      <c r="B9" s="162"/>
      <c r="C9" s="171"/>
      <c r="D9" s="290">
        <v>2</v>
      </c>
      <c r="E9" s="171"/>
      <c r="F9" s="350">
        <f>Notes!F55+Notes!F59</f>
        <v>-86.39800000000001</v>
      </c>
      <c r="G9" s="148"/>
      <c r="H9" s="147">
        <v>-95.3</v>
      </c>
      <c r="I9" s="174"/>
      <c r="J9" s="396">
        <f>Notes!J55+Notes!J59</f>
        <v>-393.19800000000004</v>
      </c>
      <c r="K9" s="171"/>
      <c r="L9" s="147">
        <v>-413.1</v>
      </c>
      <c r="M9" s="163"/>
      <c r="N9" s="93"/>
      <c r="O9" s="93"/>
      <c r="P9" s="93"/>
      <c r="Q9" s="28"/>
      <c r="R9" s="7"/>
    </row>
    <row r="10" spans="1:21" ht="11.45" customHeight="1">
      <c r="A10" s="162" t="s">
        <v>39</v>
      </c>
      <c r="B10" s="162"/>
      <c r="C10" s="171"/>
      <c r="D10" s="291">
        <v>2</v>
      </c>
      <c r="E10" s="171"/>
      <c r="F10" s="350">
        <f>Notes!F56+Notes!F60</f>
        <v>-5.2600000000000007</v>
      </c>
      <c r="G10" s="147"/>
      <c r="H10" s="147">
        <v>-5</v>
      </c>
      <c r="I10" s="174"/>
      <c r="J10" s="396">
        <f>Notes!J56+Notes!J60</f>
        <v>-19.46</v>
      </c>
      <c r="K10" s="171"/>
      <c r="L10" s="147">
        <v>-20.3</v>
      </c>
      <c r="M10" s="164"/>
      <c r="N10" s="93"/>
      <c r="O10" s="93"/>
      <c r="P10" s="93"/>
      <c r="Q10" s="107"/>
      <c r="R10" s="7"/>
      <c r="S10" s="37"/>
    </row>
    <row r="11" spans="1:21" ht="11.45" customHeight="1">
      <c r="A11" s="171" t="s">
        <v>40</v>
      </c>
      <c r="B11" s="171"/>
      <c r="C11" s="171"/>
      <c r="D11" s="267">
        <v>2</v>
      </c>
      <c r="E11" s="171"/>
      <c r="F11" s="350">
        <f>+Notes!F57</f>
        <v>-9.3840000000000003</v>
      </c>
      <c r="G11" s="148"/>
      <c r="H11" s="147">
        <v>-12.5</v>
      </c>
      <c r="I11" s="174"/>
      <c r="J11" s="396">
        <f>Notes!J57</f>
        <v>-38.384</v>
      </c>
      <c r="K11" s="171"/>
      <c r="L11" s="147">
        <v>-44.1</v>
      </c>
      <c r="M11" s="163"/>
      <c r="N11" s="93"/>
      <c r="O11" s="93"/>
      <c r="P11" s="93"/>
      <c r="Q11" s="108"/>
      <c r="R11" s="7"/>
    </row>
    <row r="12" spans="1:21" ht="11.45" customHeight="1">
      <c r="A12" s="162" t="s">
        <v>238</v>
      </c>
      <c r="B12" s="162"/>
      <c r="C12" s="171"/>
      <c r="D12" s="291">
        <v>3</v>
      </c>
      <c r="E12" s="171"/>
      <c r="F12" s="147">
        <f>Notes!F73</f>
        <v>-97.552999999999997</v>
      </c>
      <c r="G12" s="147"/>
      <c r="H12" s="147">
        <f>Notes!H73</f>
        <v>-204.3</v>
      </c>
      <c r="I12" s="174"/>
      <c r="J12" s="147">
        <f>Notes!J73</f>
        <v>-323.93100000000004</v>
      </c>
      <c r="K12" s="171"/>
      <c r="L12" s="147">
        <f>Notes!L73</f>
        <v>-430.1</v>
      </c>
      <c r="M12" s="164"/>
      <c r="N12" s="93"/>
      <c r="O12" s="93"/>
      <c r="P12" s="93"/>
      <c r="Q12" s="107"/>
      <c r="R12" s="7"/>
    </row>
    <row r="13" spans="1:21" ht="11.45" customHeight="1">
      <c r="A13" s="162" t="s">
        <v>236</v>
      </c>
      <c r="B13" s="162"/>
      <c r="C13" s="171"/>
      <c r="D13" s="291">
        <v>3</v>
      </c>
      <c r="E13" s="171"/>
      <c r="F13" s="147">
        <f>Notes!F80+Notes!F81</f>
        <v>-42.037999999999997</v>
      </c>
      <c r="G13" s="147"/>
      <c r="H13" s="147">
        <f>Notes!H82</f>
        <v>-37.6</v>
      </c>
      <c r="I13" s="174"/>
      <c r="J13" s="396">
        <f>Notes!J82</f>
        <v>-157.03800000000001</v>
      </c>
      <c r="K13" s="171"/>
      <c r="L13" s="147">
        <f>Notes!L82</f>
        <v>-141</v>
      </c>
      <c r="M13" s="164"/>
      <c r="N13" s="93"/>
      <c r="O13" s="93"/>
      <c r="P13" s="93"/>
      <c r="Q13" s="107"/>
      <c r="R13" s="7"/>
    </row>
    <row r="14" spans="1:21" ht="11.45" customHeight="1">
      <c r="A14" s="162" t="s">
        <v>237</v>
      </c>
      <c r="B14" s="162"/>
      <c r="C14" s="171"/>
      <c r="D14" s="291">
        <v>3</v>
      </c>
      <c r="E14" s="171"/>
      <c r="F14" s="147">
        <f>Notes!F92</f>
        <v>-7.806</v>
      </c>
      <c r="G14" s="147"/>
      <c r="H14" s="147">
        <f>Notes!H92</f>
        <v>-172.39375100000001</v>
      </c>
      <c r="I14" s="174"/>
      <c r="J14" s="396">
        <f>Notes!J92</f>
        <v>-12.006</v>
      </c>
      <c r="K14" s="171"/>
      <c r="L14" s="147">
        <f>Notes!L92</f>
        <v>-294.70000000000005</v>
      </c>
      <c r="M14" s="164"/>
      <c r="N14" s="93"/>
      <c r="O14" s="93"/>
      <c r="P14" s="93"/>
      <c r="Q14" s="107"/>
      <c r="R14" s="7"/>
    </row>
    <row r="15" spans="1:21" ht="11.45" customHeight="1">
      <c r="A15" s="162" t="s">
        <v>249</v>
      </c>
      <c r="B15" s="162"/>
      <c r="C15" s="171"/>
      <c r="D15" s="291">
        <v>3</v>
      </c>
      <c r="E15" s="171"/>
      <c r="F15" s="350">
        <f>+Notes!F104</f>
        <v>1.8650000000000002</v>
      </c>
      <c r="G15" s="147"/>
      <c r="H15" s="147">
        <v>-35.1</v>
      </c>
      <c r="I15" s="174"/>
      <c r="J15" s="401">
        <f>-0.6</f>
        <v>-0.6</v>
      </c>
      <c r="K15" s="171"/>
      <c r="L15" s="188">
        <v>-49</v>
      </c>
      <c r="M15" s="164"/>
      <c r="N15" s="93"/>
      <c r="O15" s="93"/>
      <c r="P15" s="93"/>
      <c r="Q15" s="93"/>
      <c r="R15" s="93"/>
      <c r="S15" s="36"/>
    </row>
    <row r="16" spans="1:21" ht="11.45" customHeight="1">
      <c r="A16" s="168"/>
      <c r="B16" s="168" t="s">
        <v>21</v>
      </c>
      <c r="C16" s="171"/>
      <c r="D16" s="267"/>
      <c r="E16" s="171"/>
      <c r="F16" s="348">
        <f>SUM(F9:F15)</f>
        <v>-246.57400000000004</v>
      </c>
      <c r="G16" s="148"/>
      <c r="H16" s="170">
        <f>SUM(H9:H15)</f>
        <v>-562.19375100000013</v>
      </c>
      <c r="I16" s="174"/>
      <c r="J16" s="170">
        <f>SUM(J9:J15)</f>
        <v>-944.61700000000008</v>
      </c>
      <c r="K16" s="171"/>
      <c r="L16" s="170">
        <f>SUM(L9:L15)</f>
        <v>-1392.3000000000002</v>
      </c>
      <c r="M16" s="163"/>
      <c r="N16" s="93"/>
      <c r="O16" s="93"/>
      <c r="P16" s="93"/>
      <c r="Q16" s="108"/>
      <c r="R16" s="7"/>
      <c r="S16" s="17"/>
      <c r="T16" s="17"/>
      <c r="U16" s="17"/>
    </row>
    <row r="17" spans="1:21" ht="11.45" customHeight="1">
      <c r="A17" s="186"/>
      <c r="B17" s="171" t="s">
        <v>206</v>
      </c>
      <c r="C17" s="171"/>
      <c r="D17" s="289" t="s">
        <v>0</v>
      </c>
      <c r="E17" s="171"/>
      <c r="F17" s="352">
        <f>F7+F16</f>
        <v>-92.426000000000045</v>
      </c>
      <c r="G17" s="148"/>
      <c r="H17" s="352">
        <f>H7+H16</f>
        <v>-332.89375100000012</v>
      </c>
      <c r="I17" s="174"/>
      <c r="J17" s="396">
        <f>J7+J16</f>
        <v>-180.26900000000001</v>
      </c>
      <c r="K17" s="171"/>
      <c r="L17" s="148">
        <f>L7+L16</f>
        <v>-430.4000000000002</v>
      </c>
      <c r="M17" s="163"/>
      <c r="N17" s="93"/>
      <c r="O17" s="93"/>
      <c r="P17" s="93"/>
      <c r="Q17" s="108"/>
      <c r="R17" s="7"/>
      <c r="S17" s="17"/>
      <c r="T17" s="17"/>
      <c r="U17" s="17"/>
    </row>
    <row r="18" spans="1:21" ht="11.45" customHeight="1">
      <c r="A18" s="174" t="s">
        <v>189</v>
      </c>
      <c r="B18" s="174"/>
      <c r="C18" s="171"/>
      <c r="D18" s="289">
        <v>4</v>
      </c>
      <c r="E18" s="171"/>
      <c r="F18" s="352">
        <v>-6.2130000000000001</v>
      </c>
      <c r="G18" s="148"/>
      <c r="H18" s="148">
        <v>-6.9</v>
      </c>
      <c r="I18" s="174"/>
      <c r="J18" s="396">
        <f>-23.9+F18</f>
        <v>-30.113</v>
      </c>
      <c r="K18" s="171"/>
      <c r="L18" s="148">
        <v>-16.100000000000001</v>
      </c>
      <c r="M18" s="163"/>
      <c r="N18" s="93"/>
      <c r="O18" s="93"/>
      <c r="P18" s="93"/>
      <c r="Q18" s="108"/>
      <c r="R18" s="7"/>
      <c r="S18" s="17"/>
      <c r="T18" s="17"/>
      <c r="U18" s="17"/>
    </row>
    <row r="19" spans="1:21" ht="11.45" customHeight="1">
      <c r="A19" s="171" t="s">
        <v>12</v>
      </c>
      <c r="B19" s="171"/>
      <c r="C19" s="171"/>
      <c r="D19" s="289">
        <v>5</v>
      </c>
      <c r="E19" s="171"/>
      <c r="F19" s="352">
        <f>Notes!F118</f>
        <v>-14.295</v>
      </c>
      <c r="G19" s="148"/>
      <c r="H19" s="148">
        <v>-7.3</v>
      </c>
      <c r="I19" s="174"/>
      <c r="J19" s="396">
        <f>Notes!J118</f>
        <v>-46.095000000000006</v>
      </c>
      <c r="K19" s="171"/>
      <c r="L19" s="148">
        <v>-29.5</v>
      </c>
      <c r="M19" s="163"/>
      <c r="N19" s="96"/>
      <c r="O19" s="96"/>
      <c r="P19" s="93"/>
      <c r="Q19" s="108"/>
      <c r="R19" s="7"/>
      <c r="S19" s="17"/>
      <c r="T19" s="17"/>
      <c r="U19" s="17"/>
    </row>
    <row r="20" spans="1:21" ht="11.45" customHeight="1">
      <c r="A20" s="270" t="s">
        <v>110</v>
      </c>
      <c r="B20" s="270"/>
      <c r="C20" s="171"/>
      <c r="D20" s="289">
        <v>6</v>
      </c>
      <c r="E20" s="171"/>
      <c r="F20" s="400">
        <f>Notes!F131</f>
        <v>-5.7779999999999996</v>
      </c>
      <c r="G20" s="148"/>
      <c r="H20" s="188">
        <v>-10.1</v>
      </c>
      <c r="I20" s="174"/>
      <c r="J20" s="401">
        <f>Notes!J131</f>
        <v>-6.3519999999999994</v>
      </c>
      <c r="K20" s="171"/>
      <c r="L20" s="188">
        <v>-29.6</v>
      </c>
      <c r="M20" s="163"/>
      <c r="N20" s="99"/>
      <c r="O20" s="99"/>
      <c r="P20" s="93"/>
      <c r="Q20" s="108"/>
      <c r="R20" s="7"/>
      <c r="S20" s="17"/>
      <c r="T20" s="17"/>
      <c r="U20" s="17"/>
    </row>
    <row r="21" spans="1:21" ht="11.45" customHeight="1">
      <c r="A21" s="162" t="s">
        <v>0</v>
      </c>
      <c r="B21" s="162" t="s">
        <v>205</v>
      </c>
      <c r="C21" s="171"/>
      <c r="D21" s="292"/>
      <c r="E21" s="171"/>
      <c r="F21" s="350">
        <f>SUM(F17:F20)</f>
        <v>-118.71200000000005</v>
      </c>
      <c r="G21" s="148"/>
      <c r="H21" s="148">
        <f>SUM(H17:H20)+0.1</f>
        <v>-357.09375100000011</v>
      </c>
      <c r="I21" s="174"/>
      <c r="J21" s="148">
        <f>SUM(J17:J20)+0.04</f>
        <v>-262.78899999999999</v>
      </c>
      <c r="K21" s="171"/>
      <c r="L21" s="148">
        <f>SUM(L17:L20)+0.1</f>
        <v>-505.50000000000023</v>
      </c>
      <c r="M21" s="163"/>
      <c r="N21" s="94"/>
      <c r="O21" s="94"/>
      <c r="P21" s="93"/>
      <c r="Q21" s="28"/>
      <c r="S21" s="124"/>
      <c r="T21" s="18"/>
    </row>
    <row r="22" spans="1:21" ht="11.45" customHeight="1">
      <c r="A22" s="270" t="s">
        <v>244</v>
      </c>
      <c r="B22" s="270"/>
      <c r="C22" s="171"/>
      <c r="D22" s="267">
        <v>7</v>
      </c>
      <c r="E22" s="171"/>
      <c r="F22" s="350">
        <f>+Notes!F143</f>
        <v>-37.391699999999993</v>
      </c>
      <c r="G22" s="148"/>
      <c r="H22" s="147">
        <v>22.5</v>
      </c>
      <c r="I22" s="174"/>
      <c r="J22" s="401">
        <f>6.24+F22</f>
        <v>-31.151699999999991</v>
      </c>
      <c r="K22" s="171"/>
      <c r="L22" s="188">
        <v>-22.4</v>
      </c>
      <c r="M22" s="163"/>
      <c r="N22" s="99"/>
      <c r="O22" s="99"/>
      <c r="P22" s="93"/>
      <c r="Q22" s="28"/>
      <c r="S22" s="124"/>
      <c r="T22" s="18"/>
    </row>
    <row r="23" spans="1:21" ht="11.45" customHeight="1" thickBot="1">
      <c r="A23" s="293"/>
      <c r="B23" s="293" t="s">
        <v>175</v>
      </c>
      <c r="C23" s="169"/>
      <c r="D23" s="196"/>
      <c r="E23" s="169"/>
      <c r="F23" s="347">
        <f>+F21+F22</f>
        <v>-156.10370000000003</v>
      </c>
      <c r="G23" s="197"/>
      <c r="H23" s="176">
        <f>+H21+H22</f>
        <v>-334.59375100000011</v>
      </c>
      <c r="I23" s="169"/>
      <c r="J23" s="176">
        <f>+J21+J22</f>
        <v>-293.94069999999999</v>
      </c>
      <c r="K23" s="169"/>
      <c r="L23" s="176">
        <f>+L21+L22</f>
        <v>-527.9000000000002</v>
      </c>
      <c r="M23" s="197"/>
      <c r="N23" s="84"/>
      <c r="O23" s="84" t="s">
        <v>0</v>
      </c>
      <c r="P23" s="96"/>
      <c r="Q23" s="23"/>
      <c r="R23" s="7"/>
    </row>
    <row r="24" spans="1:21" s="3" customFormat="1" ht="11.45" customHeight="1">
      <c r="A24" s="169"/>
      <c r="B24" s="169"/>
      <c r="C24" s="169"/>
      <c r="D24" s="196"/>
      <c r="E24" s="169"/>
      <c r="F24" s="351"/>
      <c r="G24" s="197"/>
      <c r="H24" s="146"/>
      <c r="I24" s="169"/>
      <c r="J24" s="395"/>
      <c r="K24" s="169"/>
      <c r="L24" s="146"/>
      <c r="M24" s="197"/>
      <c r="N24" s="84"/>
      <c r="O24" s="84"/>
      <c r="P24" s="99"/>
      <c r="Q24" s="23"/>
    </row>
    <row r="25" spans="1:21" ht="11.45" customHeight="1">
      <c r="A25" s="172" t="s">
        <v>117</v>
      </c>
      <c r="B25" s="162"/>
      <c r="C25" s="171"/>
      <c r="D25" s="291"/>
      <c r="E25" s="171"/>
      <c r="F25" s="350"/>
      <c r="G25" s="164"/>
      <c r="H25" s="147"/>
      <c r="I25" s="171"/>
      <c r="J25" s="394"/>
      <c r="K25" s="171"/>
      <c r="L25" s="147"/>
      <c r="M25" s="164"/>
      <c r="N25" s="93"/>
      <c r="O25" s="93"/>
      <c r="P25" s="93"/>
      <c r="Q25" s="107"/>
      <c r="R25" s="7"/>
    </row>
    <row r="26" spans="1:21" ht="11.45" customHeight="1">
      <c r="A26" s="162"/>
      <c r="B26" s="162" t="s">
        <v>131</v>
      </c>
      <c r="C26" s="171"/>
      <c r="D26" s="291">
        <v>12</v>
      </c>
      <c r="E26" s="171"/>
      <c r="F26" s="349">
        <f>Notes!F257</f>
        <v>13.4</v>
      </c>
      <c r="G26" s="164"/>
      <c r="H26" s="147">
        <v>2.1</v>
      </c>
      <c r="I26" s="171"/>
      <c r="J26" s="394">
        <f>Notes!J257</f>
        <v>-32.699999999999996</v>
      </c>
      <c r="K26" s="171"/>
      <c r="L26" s="147">
        <v>1.3</v>
      </c>
      <c r="M26" s="164"/>
      <c r="N26" s="93"/>
      <c r="O26" s="93"/>
      <c r="P26" s="93"/>
      <c r="Q26" s="107"/>
      <c r="R26" s="7"/>
    </row>
    <row r="27" spans="1:21" ht="11.45" customHeight="1">
      <c r="A27" s="162"/>
      <c r="B27" s="162" t="s">
        <v>167</v>
      </c>
      <c r="C27" s="171"/>
      <c r="D27" s="291">
        <v>12</v>
      </c>
      <c r="E27" s="171"/>
      <c r="F27" s="349">
        <f>Notes!F267</f>
        <v>-2</v>
      </c>
      <c r="G27" s="164"/>
      <c r="H27" s="147">
        <v>-2.8</v>
      </c>
      <c r="I27" s="171"/>
      <c r="J27" s="396">
        <f>Notes!J267</f>
        <v>-0.89999999999999991</v>
      </c>
      <c r="K27" s="171"/>
      <c r="L27" s="147">
        <v>-2.4</v>
      </c>
      <c r="M27" s="164"/>
      <c r="N27" s="93"/>
      <c r="O27" s="93"/>
      <c r="P27" s="93"/>
      <c r="Q27" s="107"/>
      <c r="R27" s="7"/>
    </row>
    <row r="28" spans="1:21" ht="11.45" customHeight="1">
      <c r="A28" s="167" t="s">
        <v>132</v>
      </c>
      <c r="B28" s="168"/>
      <c r="C28" s="171"/>
      <c r="D28" s="291"/>
      <c r="E28" s="171"/>
      <c r="F28" s="348">
        <f>SUM(F26:F27)</f>
        <v>11.4</v>
      </c>
      <c r="G28" s="164"/>
      <c r="H28" s="170">
        <f>SUM(H26:H27)</f>
        <v>-0.69999999999999973</v>
      </c>
      <c r="I28" s="171"/>
      <c r="J28" s="170">
        <f>SUM(J26:J27)</f>
        <v>-33.599999999999994</v>
      </c>
      <c r="K28" s="171"/>
      <c r="L28" s="170">
        <f>SUM(L26:L27)</f>
        <v>-1.0999999999999999</v>
      </c>
      <c r="M28" s="164"/>
      <c r="N28" s="93"/>
      <c r="O28" s="93"/>
      <c r="P28" s="93"/>
      <c r="Q28" s="107"/>
      <c r="R28" s="7"/>
    </row>
    <row r="29" spans="1:21" ht="11.45" customHeight="1" thickBot="1">
      <c r="A29" s="293" t="s">
        <v>92</v>
      </c>
      <c r="B29" s="293"/>
      <c r="C29" s="169"/>
      <c r="D29" s="196"/>
      <c r="E29" s="169"/>
      <c r="F29" s="347">
        <f>F23+F28</f>
        <v>-144.70370000000003</v>
      </c>
      <c r="G29" s="197"/>
      <c r="H29" s="176">
        <f>H23+H28</f>
        <v>-335.2937510000001</v>
      </c>
      <c r="I29" s="169"/>
      <c r="J29" s="176">
        <f>J23+J28</f>
        <v>-327.54070000000002</v>
      </c>
      <c r="K29" s="169"/>
      <c r="L29" s="176">
        <f>L23+L28</f>
        <v>-529.00000000000023</v>
      </c>
      <c r="M29" s="197"/>
      <c r="N29" s="93"/>
      <c r="O29" s="93"/>
      <c r="P29" s="93"/>
      <c r="Q29" s="107"/>
      <c r="R29" s="7"/>
    </row>
    <row r="30" spans="1:21" s="3" customFormat="1">
      <c r="A30" s="38"/>
      <c r="B30" s="14"/>
      <c r="C30" s="14"/>
      <c r="D30" s="33"/>
      <c r="E30" s="14"/>
      <c r="F30" s="115"/>
      <c r="G30" s="85"/>
      <c r="H30" s="29"/>
      <c r="I30" s="14"/>
      <c r="J30" s="14"/>
      <c r="K30" s="14"/>
      <c r="L30" s="85"/>
      <c r="M30" s="29"/>
      <c r="N30" s="21"/>
      <c r="O30" s="21"/>
      <c r="P30" s="84"/>
      <c r="Q30" s="23"/>
    </row>
    <row r="31" spans="1:21" s="3" customFormat="1" ht="13.5" customHeight="1">
      <c r="A31" s="38"/>
      <c r="B31" s="14"/>
      <c r="C31" s="14"/>
      <c r="D31" s="33"/>
      <c r="E31" s="14"/>
      <c r="F31" s="115"/>
      <c r="G31" s="85"/>
      <c r="H31" s="29"/>
      <c r="I31" s="14"/>
      <c r="J31" s="14"/>
      <c r="K31" s="14"/>
      <c r="L31" s="85"/>
      <c r="M31" s="29"/>
      <c r="N31" s="21"/>
      <c r="O31" s="21"/>
      <c r="P31" s="84"/>
      <c r="Q31" s="23"/>
    </row>
    <row r="32" spans="1:21" s="3" customFormat="1">
      <c r="A32" s="14"/>
      <c r="B32" s="14"/>
      <c r="C32" s="16"/>
      <c r="D32" s="33"/>
      <c r="E32" s="16"/>
      <c r="F32" s="15"/>
      <c r="G32" s="15"/>
      <c r="H32" s="15"/>
      <c r="I32" s="16"/>
      <c r="J32" s="16"/>
      <c r="K32" s="16"/>
      <c r="L32" s="15"/>
      <c r="M32" s="15"/>
      <c r="N32" s="15"/>
      <c r="O32" s="15"/>
      <c r="P32" s="15"/>
      <c r="Q32" s="15"/>
    </row>
    <row r="33" spans="1:19" s="3" customFormat="1">
      <c r="A33" s="14"/>
      <c r="B33" s="14"/>
      <c r="C33" s="16"/>
      <c r="D33" s="33"/>
      <c r="E33" s="16"/>
      <c r="F33" s="15"/>
      <c r="G33" s="15"/>
      <c r="H33" s="15"/>
      <c r="I33" s="16"/>
      <c r="J33" s="16"/>
      <c r="K33" s="16"/>
      <c r="L33" s="15"/>
      <c r="M33" s="15"/>
      <c r="N33" s="15"/>
      <c r="O33" s="15"/>
      <c r="P33" s="15"/>
      <c r="Q33" s="15"/>
    </row>
    <row r="34" spans="1:19" s="3" customFormat="1">
      <c r="A34" s="14"/>
      <c r="B34" s="14"/>
      <c r="C34" s="16"/>
      <c r="D34" s="33"/>
      <c r="E34" s="16"/>
      <c r="F34" s="15"/>
      <c r="G34" s="15"/>
      <c r="H34" s="15"/>
      <c r="I34" s="16"/>
      <c r="J34" s="16"/>
      <c r="K34" s="16"/>
      <c r="L34" s="15"/>
      <c r="M34" s="15"/>
      <c r="N34" s="15"/>
      <c r="O34" s="15"/>
      <c r="P34" s="15"/>
      <c r="Q34" s="15"/>
    </row>
    <row r="35" spans="1:19" s="3" customFormat="1">
      <c r="A35" s="14"/>
      <c r="B35" s="14"/>
      <c r="C35" s="16"/>
      <c r="D35" s="33"/>
      <c r="E35" s="16"/>
      <c r="F35" s="15"/>
      <c r="G35" s="15"/>
      <c r="H35" s="15"/>
      <c r="I35" s="16"/>
      <c r="J35" s="16"/>
      <c r="K35" s="16"/>
      <c r="L35" s="15"/>
      <c r="M35" s="15"/>
      <c r="N35" s="15"/>
      <c r="O35" s="15"/>
      <c r="P35" s="15"/>
      <c r="Q35" s="15"/>
    </row>
    <row r="36" spans="1:19" s="3" customFormat="1">
      <c r="A36" s="14"/>
      <c r="B36" s="14"/>
      <c r="C36" s="16"/>
      <c r="D36" s="33"/>
      <c r="E36" s="16"/>
      <c r="F36" s="15"/>
      <c r="G36" s="15"/>
      <c r="H36" s="15"/>
      <c r="I36" s="16"/>
      <c r="J36" s="16"/>
      <c r="K36" s="16"/>
      <c r="L36" s="15"/>
      <c r="M36" s="15"/>
      <c r="N36" s="15"/>
      <c r="O36" s="15"/>
      <c r="P36" s="15"/>
      <c r="Q36" s="15"/>
    </row>
    <row r="37" spans="1:19" s="3" customFormat="1">
      <c r="A37" s="14"/>
      <c r="B37" s="14"/>
      <c r="C37" s="16"/>
      <c r="D37" s="33"/>
      <c r="E37" s="16"/>
      <c r="F37" s="15"/>
      <c r="G37" s="15"/>
      <c r="H37" s="15"/>
      <c r="I37" s="16"/>
      <c r="J37" s="16"/>
      <c r="K37" s="16"/>
      <c r="L37" s="15"/>
      <c r="M37" s="15"/>
      <c r="N37" s="15"/>
      <c r="O37" s="15"/>
      <c r="P37" s="15"/>
      <c r="Q37" s="15"/>
    </row>
    <row r="38" spans="1:19" s="3" customFormat="1">
      <c r="A38" s="14"/>
      <c r="B38" s="5"/>
      <c r="C38" s="16"/>
      <c r="D38" s="33"/>
      <c r="E38" s="16"/>
      <c r="F38" s="15"/>
      <c r="G38" s="15"/>
      <c r="H38" s="15"/>
      <c r="I38" s="16"/>
      <c r="J38" s="16"/>
      <c r="K38" s="16"/>
      <c r="L38" s="15"/>
      <c r="M38" s="15"/>
      <c r="N38" s="15"/>
      <c r="O38" s="15"/>
      <c r="P38" s="15"/>
      <c r="Q38" s="15"/>
    </row>
    <row r="39" spans="1:19" s="3" customFormat="1">
      <c r="A39" s="14"/>
      <c r="B39" s="14"/>
      <c r="C39" s="16"/>
      <c r="D39" s="33"/>
      <c r="E39" s="16"/>
      <c r="F39" s="15"/>
      <c r="G39" s="15"/>
      <c r="H39" s="15"/>
      <c r="I39" s="16"/>
      <c r="J39" s="16"/>
      <c r="K39" s="16"/>
      <c r="L39" s="15"/>
      <c r="M39" s="15"/>
      <c r="N39" s="15"/>
      <c r="O39" s="15"/>
      <c r="P39" s="15"/>
      <c r="Q39" s="15"/>
    </row>
    <row r="40" spans="1:19" s="3" customFormat="1">
      <c r="A40" s="14"/>
      <c r="B40" s="14"/>
      <c r="C40" s="16"/>
      <c r="D40" s="33"/>
      <c r="E40" s="16"/>
      <c r="F40" s="15"/>
      <c r="G40" s="15"/>
      <c r="H40" s="15"/>
      <c r="I40" s="16"/>
      <c r="J40" s="16"/>
      <c r="K40" s="16"/>
      <c r="L40" s="15"/>
      <c r="M40" s="15"/>
      <c r="N40" s="15"/>
      <c r="O40" s="15"/>
      <c r="P40" s="15"/>
      <c r="Q40" s="15"/>
    </row>
    <row r="41" spans="1:19" s="3" customFormat="1">
      <c r="A41" s="14"/>
      <c r="B41" s="14"/>
      <c r="C41" s="16"/>
      <c r="D41" s="33"/>
      <c r="E41" s="16"/>
      <c r="F41" s="15"/>
      <c r="G41" s="15"/>
      <c r="H41" s="15"/>
      <c r="I41" s="16"/>
      <c r="J41" s="16"/>
      <c r="K41" s="16"/>
      <c r="L41" s="15"/>
      <c r="M41" s="15"/>
      <c r="N41" s="11"/>
      <c r="O41" s="11"/>
      <c r="P41" s="15"/>
      <c r="Q41" s="15"/>
    </row>
    <row r="42" spans="1:19" s="3" customFormat="1">
      <c r="A42" s="14"/>
      <c r="B42" s="14"/>
      <c r="C42" s="16"/>
      <c r="D42" s="33"/>
      <c r="E42" s="16"/>
      <c r="F42" s="15"/>
      <c r="G42" s="15"/>
      <c r="H42" s="15"/>
      <c r="I42" s="16"/>
      <c r="J42" s="16"/>
      <c r="K42" s="16"/>
      <c r="L42" s="15"/>
      <c r="M42" s="15"/>
      <c r="N42" s="11"/>
      <c r="O42" s="11"/>
      <c r="P42" s="15"/>
      <c r="Q42" s="15"/>
    </row>
    <row r="43" spans="1:19" s="3" customFormat="1">
      <c r="A43" s="14"/>
      <c r="B43" s="14"/>
      <c r="C43" s="16"/>
      <c r="D43" s="33"/>
      <c r="E43" s="16"/>
      <c r="F43" s="15"/>
      <c r="G43" s="15"/>
      <c r="H43" s="15"/>
      <c r="I43" s="16"/>
      <c r="J43" s="16"/>
      <c r="K43" s="16"/>
      <c r="L43" s="15"/>
      <c r="M43" s="15"/>
      <c r="N43" s="11"/>
      <c r="O43" s="11"/>
      <c r="P43" s="15"/>
      <c r="Q43" s="15"/>
    </row>
    <row r="44" spans="1:19" s="3" customFormat="1">
      <c r="A44" s="14"/>
      <c r="B44" s="14"/>
      <c r="C44" s="16"/>
      <c r="D44" s="33"/>
      <c r="E44" s="16"/>
      <c r="F44" s="15"/>
      <c r="G44" s="15"/>
      <c r="H44" s="15"/>
      <c r="I44" s="16"/>
      <c r="J44" s="16"/>
      <c r="K44" s="16"/>
      <c r="L44" s="15"/>
      <c r="M44" s="15"/>
      <c r="N44" s="11"/>
      <c r="O44" s="11"/>
      <c r="P44" s="15"/>
      <c r="Q44" s="15"/>
    </row>
    <row r="45" spans="1:19" s="3" customFormat="1">
      <c r="A45" s="1"/>
      <c r="B45" s="4"/>
      <c r="C45" s="4"/>
      <c r="D45" s="4"/>
      <c r="E45" s="4"/>
      <c r="F45" s="13"/>
      <c r="G45" s="11"/>
      <c r="H45" s="11"/>
      <c r="I45" s="4"/>
      <c r="J45" s="4"/>
      <c r="K45" s="4"/>
      <c r="L45" s="11"/>
      <c r="M45" s="11"/>
      <c r="N45" s="11"/>
      <c r="O45" s="11"/>
      <c r="P45" s="11"/>
      <c r="Q45" s="15"/>
      <c r="S45" s="119"/>
    </row>
    <row r="46" spans="1:19">
      <c r="F46" s="13"/>
      <c r="G46" s="11"/>
      <c r="H46" s="11"/>
      <c r="L46" s="11"/>
      <c r="M46" s="11"/>
      <c r="N46" s="11"/>
      <c r="O46" s="11"/>
      <c r="P46" s="11"/>
      <c r="Q46" s="13"/>
      <c r="S46" s="36"/>
    </row>
    <row r="47" spans="1:19">
      <c r="A47" s="26"/>
      <c r="B47" s="27"/>
      <c r="D47" s="27"/>
      <c r="F47" s="13"/>
      <c r="G47" s="11"/>
      <c r="H47" s="11"/>
      <c r="L47" s="11"/>
      <c r="M47" s="11"/>
      <c r="N47" s="11"/>
      <c r="O47" s="11"/>
      <c r="P47" s="11"/>
      <c r="Q47" s="13"/>
    </row>
    <row r="48" spans="1:19">
      <c r="F48" s="13"/>
      <c r="G48" s="11"/>
      <c r="H48" s="11"/>
      <c r="L48" s="11"/>
      <c r="M48" s="11"/>
      <c r="N48" s="11"/>
      <c r="O48" s="11"/>
      <c r="P48" s="11"/>
      <c r="Q48" s="13"/>
    </row>
    <row r="49" spans="6:17">
      <c r="F49" s="13"/>
      <c r="G49" s="11"/>
      <c r="H49" s="11"/>
      <c r="L49" s="11"/>
      <c r="M49" s="11"/>
      <c r="N49" s="11"/>
      <c r="O49" s="11"/>
      <c r="P49" s="11"/>
      <c r="Q49" s="13"/>
    </row>
    <row r="50" spans="6:17">
      <c r="F50" s="13"/>
      <c r="G50" s="11"/>
      <c r="H50" s="11"/>
      <c r="L50" s="11"/>
      <c r="M50" s="11"/>
      <c r="N50" s="11"/>
      <c r="O50" s="11"/>
      <c r="P50" s="11"/>
      <c r="Q50" s="13"/>
    </row>
    <row r="51" spans="6:17">
      <c r="F51" s="13"/>
      <c r="G51" s="11"/>
      <c r="H51" s="11"/>
      <c r="L51" s="11"/>
      <c r="M51" s="11"/>
      <c r="N51" s="11"/>
      <c r="O51" s="11"/>
      <c r="P51" s="11"/>
      <c r="Q51" s="13"/>
    </row>
    <row r="52" spans="6:17">
      <c r="F52" s="13"/>
      <c r="G52" s="11"/>
      <c r="H52" s="11"/>
      <c r="L52" s="11"/>
      <c r="M52" s="11"/>
      <c r="N52" s="11"/>
      <c r="O52" s="11"/>
      <c r="P52" s="11"/>
      <c r="Q52" s="13"/>
    </row>
    <row r="53" spans="6:17">
      <c r="F53" s="13"/>
      <c r="G53" s="11"/>
      <c r="H53" s="11"/>
      <c r="L53" s="11"/>
      <c r="M53" s="11"/>
      <c r="N53" s="11"/>
      <c r="O53" s="11"/>
      <c r="P53" s="11"/>
      <c r="Q53" s="13"/>
    </row>
    <row r="54" spans="6:17">
      <c r="F54" s="13"/>
      <c r="G54" s="11"/>
      <c r="H54" s="11"/>
      <c r="L54" s="11"/>
      <c r="M54" s="11"/>
      <c r="N54" s="11"/>
      <c r="O54" s="11"/>
      <c r="P54" s="11"/>
      <c r="Q54" s="13"/>
    </row>
    <row r="55" spans="6:17">
      <c r="F55" s="13"/>
      <c r="G55" s="11"/>
      <c r="H55" s="11"/>
      <c r="L55" s="11"/>
      <c r="M55" s="11"/>
      <c r="N55" s="11"/>
      <c r="O55" s="11"/>
      <c r="P55" s="11"/>
      <c r="Q55" s="13"/>
    </row>
    <row r="56" spans="6:17">
      <c r="F56" s="13"/>
      <c r="G56" s="11"/>
      <c r="H56" s="11"/>
      <c r="L56" s="11"/>
      <c r="M56" s="11"/>
      <c r="N56" s="11"/>
      <c r="O56" s="11"/>
      <c r="P56" s="11"/>
      <c r="Q56" s="13"/>
    </row>
    <row r="57" spans="6:17">
      <c r="F57" s="13"/>
      <c r="G57" s="11"/>
      <c r="H57" s="11"/>
      <c r="L57" s="11"/>
      <c r="M57" s="11"/>
      <c r="N57" s="11"/>
      <c r="O57" s="11"/>
      <c r="P57" s="11"/>
      <c r="Q57" s="13"/>
    </row>
    <row r="58" spans="6:17">
      <c r="F58" s="13"/>
      <c r="G58" s="11"/>
      <c r="H58" s="11"/>
      <c r="L58" s="11"/>
      <c r="M58" s="11"/>
      <c r="N58" s="11"/>
      <c r="O58" s="11"/>
      <c r="P58" s="11"/>
      <c r="Q58" s="13"/>
    </row>
    <row r="59" spans="6:17">
      <c r="F59" s="13"/>
      <c r="G59" s="11"/>
      <c r="H59" s="11"/>
      <c r="L59" s="11"/>
      <c r="M59" s="11"/>
      <c r="N59" s="11"/>
      <c r="O59" s="11"/>
      <c r="P59" s="11"/>
      <c r="Q59" s="13"/>
    </row>
    <row r="60" spans="6:17">
      <c r="G60" s="11"/>
      <c r="H60" s="11"/>
      <c r="L60" s="11"/>
      <c r="M60" s="11"/>
      <c r="N60" s="11"/>
      <c r="O60" s="11"/>
      <c r="P60" s="11"/>
      <c r="Q60" s="13"/>
    </row>
    <row r="61" spans="6:17">
      <c r="F61" s="13"/>
      <c r="G61" s="11"/>
      <c r="H61" s="11"/>
      <c r="L61" s="11"/>
      <c r="M61" s="11"/>
      <c r="N61" s="10"/>
      <c r="O61" s="10"/>
      <c r="P61" s="11"/>
      <c r="Q61" s="13"/>
    </row>
    <row r="62" spans="6:17">
      <c r="F62" s="13"/>
      <c r="G62" s="11"/>
      <c r="H62" s="11"/>
      <c r="L62" s="11"/>
      <c r="M62" s="11"/>
      <c r="N62" s="10"/>
      <c r="O62" s="10"/>
      <c r="P62" s="11"/>
      <c r="Q62" s="13"/>
    </row>
    <row r="63" spans="6:17">
      <c r="F63" s="13"/>
      <c r="G63" s="11"/>
      <c r="H63" s="11"/>
      <c r="L63" s="11"/>
      <c r="M63" s="11"/>
      <c r="P63" s="11"/>
      <c r="Q63" s="13"/>
    </row>
    <row r="64" spans="6:17">
      <c r="F64" s="13"/>
      <c r="G64" s="11"/>
      <c r="H64" s="11"/>
      <c r="L64" s="11"/>
      <c r="M64" s="11"/>
      <c r="P64" s="11"/>
      <c r="Q64" s="13"/>
    </row>
    <row r="65" spans="6:17">
      <c r="F65" s="10"/>
      <c r="H65" s="10"/>
      <c r="M65" s="10"/>
      <c r="P65" s="10"/>
      <c r="Q65" s="13"/>
    </row>
    <row r="66" spans="6:17">
      <c r="F66" s="10"/>
      <c r="H66" s="10"/>
      <c r="M66" s="10"/>
      <c r="P66" s="10"/>
    </row>
  </sheetData>
  <mergeCells count="4">
    <mergeCell ref="A1:M1"/>
    <mergeCell ref="F3:H3"/>
    <mergeCell ref="F4:H4"/>
    <mergeCell ref="J3:L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R52"/>
  <sheetViews>
    <sheetView showGridLines="0" zoomScaleNormal="100" workbookViewId="0">
      <selection sqref="A1:K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4" customWidth="1"/>
    <col min="6" max="6" width="1.5703125" customWidth="1"/>
    <col min="7" max="7" width="12.28515625" customWidth="1"/>
    <col min="8" max="8" width="1.140625" style="22" customWidth="1"/>
    <col min="9" max="9" width="12.140625" style="22" customWidth="1"/>
    <col min="10" max="10" width="8.7109375" style="22" customWidth="1"/>
    <col min="11" max="11" width="9.85546875" style="22" customWidth="1"/>
    <col min="12" max="26" width="11.7109375" style="31" customWidth="1"/>
    <col min="27" max="44" width="11.7109375" style="31"/>
  </cols>
  <sheetData>
    <row r="1" spans="1:44" s="1" customFormat="1" ht="18.75">
      <c r="A1" s="537" t="s">
        <v>94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8"/>
      <c r="M1" s="119"/>
      <c r="N1" s="8"/>
      <c r="O1" s="8"/>
      <c r="P1" s="8"/>
    </row>
    <row r="2" spans="1:44" s="1" customFormat="1" ht="11.25" customHeight="1" thickBot="1">
      <c r="A2" s="178"/>
      <c r="B2" s="178"/>
      <c r="C2" s="178"/>
      <c r="D2" s="178"/>
      <c r="E2" s="178"/>
      <c r="F2" s="192"/>
      <c r="G2" s="192"/>
      <c r="H2" s="193"/>
      <c r="I2" s="83"/>
      <c r="J2" s="123"/>
      <c r="K2" s="123"/>
      <c r="L2" s="8"/>
    </row>
    <row r="3" spans="1:44" ht="11.45" customHeight="1">
      <c r="A3" s="298"/>
      <c r="B3" s="298"/>
      <c r="C3" s="298"/>
      <c r="D3" s="299"/>
      <c r="E3" s="298"/>
      <c r="F3" s="299"/>
      <c r="G3" s="536" t="s">
        <v>1</v>
      </c>
      <c r="H3" s="536"/>
      <c r="I3" s="379" t="s">
        <v>1</v>
      </c>
      <c r="J3" s="110"/>
      <c r="K3" s="110"/>
      <c r="AO3"/>
      <c r="AP3"/>
      <c r="AQ3"/>
      <c r="AR3"/>
    </row>
    <row r="4" spans="1:44" s="6" customFormat="1" ht="11.45" customHeight="1" thickBot="1">
      <c r="A4" s="300" t="s">
        <v>103</v>
      </c>
      <c r="B4" s="301"/>
      <c r="C4" s="301"/>
      <c r="D4" s="299"/>
      <c r="E4" s="301" t="s">
        <v>37</v>
      </c>
      <c r="F4" s="299"/>
      <c r="G4" s="302">
        <v>2016</v>
      </c>
      <c r="H4" s="298"/>
      <c r="I4" s="302">
        <v>2015</v>
      </c>
      <c r="J4" s="31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44" s="31" customFormat="1" ht="11.45" customHeight="1">
      <c r="A5" s="304"/>
      <c r="B5" s="298"/>
      <c r="C5" s="298"/>
      <c r="D5" s="299"/>
      <c r="E5" s="298"/>
      <c r="F5" s="299"/>
      <c r="G5" s="303"/>
      <c r="H5" s="298"/>
      <c r="I5" s="303"/>
      <c r="K5" s="30"/>
    </row>
    <row r="6" spans="1:44" ht="11.45" customHeight="1">
      <c r="A6" s="304" t="s">
        <v>11</v>
      </c>
      <c r="B6" s="305"/>
      <c r="C6" s="305"/>
      <c r="D6" s="306"/>
      <c r="E6" s="305"/>
      <c r="F6" s="306"/>
      <c r="G6" s="307"/>
      <c r="H6" s="308"/>
      <c r="I6" s="307"/>
      <c r="K6" s="30"/>
      <c r="AM6"/>
      <c r="AN6"/>
      <c r="AO6"/>
      <c r="AP6"/>
      <c r="AQ6"/>
      <c r="AR6"/>
    </row>
    <row r="7" spans="1:44" ht="11.45" customHeight="1">
      <c r="A7" s="309"/>
      <c r="B7" s="309" t="s">
        <v>2</v>
      </c>
      <c r="C7" s="310"/>
      <c r="D7" s="310"/>
      <c r="E7" s="311">
        <v>10</v>
      </c>
      <c r="F7" s="310"/>
      <c r="G7" s="313">
        <v>61.726999999999997</v>
      </c>
      <c r="H7" s="312"/>
      <c r="I7" s="312">
        <v>81.567999999999998</v>
      </c>
      <c r="J7" s="87"/>
      <c r="K7" s="87"/>
      <c r="AO7"/>
      <c r="AP7"/>
      <c r="AQ7"/>
      <c r="AR7"/>
    </row>
    <row r="8" spans="1:44" ht="11.45" customHeight="1">
      <c r="A8" s="309"/>
      <c r="B8" s="310" t="s">
        <v>13</v>
      </c>
      <c r="C8" s="310"/>
      <c r="D8" s="310"/>
      <c r="E8" s="311">
        <v>10</v>
      </c>
      <c r="F8" s="310"/>
      <c r="G8" s="313">
        <v>32.33</v>
      </c>
      <c r="H8" s="312"/>
      <c r="I8" s="312">
        <v>19.023</v>
      </c>
      <c r="J8" s="87"/>
      <c r="K8" s="87"/>
      <c r="AO8"/>
      <c r="AP8"/>
      <c r="AQ8"/>
      <c r="AR8"/>
    </row>
    <row r="9" spans="1:44" ht="11.45" customHeight="1">
      <c r="A9" s="314"/>
      <c r="B9" s="310" t="s">
        <v>30</v>
      </c>
      <c r="C9" s="310"/>
      <c r="D9" s="310"/>
      <c r="E9" s="298"/>
      <c r="F9" s="310"/>
      <c r="G9" s="313">
        <v>98.394000000000005</v>
      </c>
      <c r="H9" s="312"/>
      <c r="I9" s="312">
        <v>112.80500000000001</v>
      </c>
      <c r="J9" s="87"/>
      <c r="K9" s="87"/>
      <c r="AO9"/>
      <c r="AP9"/>
      <c r="AQ9"/>
      <c r="AR9"/>
    </row>
    <row r="10" spans="1:44" ht="11.45" customHeight="1">
      <c r="A10" s="314"/>
      <c r="B10" s="310" t="s">
        <v>31</v>
      </c>
      <c r="C10" s="310"/>
      <c r="D10" s="310"/>
      <c r="E10" s="298"/>
      <c r="F10" s="310"/>
      <c r="G10" s="313">
        <v>120.318</v>
      </c>
      <c r="H10" s="312"/>
      <c r="I10" s="312">
        <v>158.125</v>
      </c>
      <c r="J10" s="87"/>
      <c r="K10" s="87"/>
      <c r="AO10"/>
      <c r="AP10"/>
      <c r="AQ10"/>
      <c r="AR10"/>
    </row>
    <row r="11" spans="1:44" ht="11.45" customHeight="1">
      <c r="A11" s="314"/>
      <c r="B11" s="314" t="s">
        <v>6</v>
      </c>
      <c r="C11" s="310"/>
      <c r="D11" s="310"/>
      <c r="E11" s="298"/>
      <c r="F11" s="310"/>
      <c r="G11" s="313">
        <v>69.117999999999995</v>
      </c>
      <c r="H11" s="312"/>
      <c r="I11" s="312">
        <f>98.784</f>
        <v>98.784000000000006</v>
      </c>
      <c r="J11" s="87"/>
      <c r="K11" s="87"/>
      <c r="AO11"/>
      <c r="AP11"/>
      <c r="AQ11"/>
      <c r="AR11"/>
    </row>
    <row r="12" spans="1:44" ht="11.45" customHeight="1">
      <c r="A12" s="315" t="s">
        <v>17</v>
      </c>
      <c r="B12" s="315"/>
      <c r="C12" s="316"/>
      <c r="D12" s="299"/>
      <c r="E12" s="298"/>
      <c r="F12" s="299"/>
      <c r="G12" s="317">
        <f>SUM(G7:G11)</f>
        <v>381.887</v>
      </c>
      <c r="H12" s="313"/>
      <c r="I12" s="317">
        <f>SUM(I7:I11)</f>
        <v>470.30500000000001</v>
      </c>
      <c r="J12" s="87"/>
      <c r="K12" s="87"/>
      <c r="AO12"/>
      <c r="AP12"/>
      <c r="AQ12"/>
      <c r="AR12"/>
    </row>
    <row r="13" spans="1:44" ht="11.45" customHeight="1">
      <c r="A13" s="314"/>
      <c r="B13" s="309" t="s">
        <v>32</v>
      </c>
      <c r="C13" s="310"/>
      <c r="D13" s="310"/>
      <c r="E13" s="298">
        <v>8</v>
      </c>
      <c r="F13" s="310"/>
      <c r="G13" s="313">
        <v>1391.548</v>
      </c>
      <c r="H13" s="312"/>
      <c r="I13" s="312">
        <v>1397.4829999999999</v>
      </c>
      <c r="J13" s="87"/>
      <c r="K13" s="87"/>
      <c r="AO13"/>
      <c r="AP13"/>
      <c r="AQ13"/>
      <c r="AR13"/>
    </row>
    <row r="14" spans="1:44" ht="11.45" customHeight="1">
      <c r="A14" s="314"/>
      <c r="B14" s="309" t="s">
        <v>42</v>
      </c>
      <c r="C14" s="310"/>
      <c r="D14" s="310"/>
      <c r="E14" s="298">
        <v>9</v>
      </c>
      <c r="F14" s="310"/>
      <c r="G14" s="313">
        <v>647.65200000000004</v>
      </c>
      <c r="H14" s="312"/>
      <c r="I14" s="312">
        <v>695.03899999999999</v>
      </c>
      <c r="J14" s="87"/>
      <c r="K14" s="87"/>
      <c r="AO14"/>
      <c r="AP14"/>
      <c r="AQ14"/>
      <c r="AR14"/>
    </row>
    <row r="15" spans="1:44" ht="11.45" customHeight="1">
      <c r="A15" s="314"/>
      <c r="B15" s="309" t="s">
        <v>13</v>
      </c>
      <c r="C15" s="310"/>
      <c r="D15" s="310"/>
      <c r="E15" s="311">
        <v>10</v>
      </c>
      <c r="F15" s="310"/>
      <c r="G15" s="313">
        <v>68.731999999999999</v>
      </c>
      <c r="H15" s="312"/>
      <c r="I15" s="312">
        <v>52.533999999999999</v>
      </c>
      <c r="J15" s="87"/>
      <c r="K15" s="87"/>
      <c r="AO15"/>
      <c r="AP15"/>
      <c r="AQ15"/>
      <c r="AR15"/>
    </row>
    <row r="16" spans="1:44" ht="11.45" customHeight="1">
      <c r="A16" s="314"/>
      <c r="B16" s="309" t="s">
        <v>27</v>
      </c>
      <c r="C16" s="310"/>
      <c r="D16" s="310"/>
      <c r="E16" s="298"/>
      <c r="F16" s="310"/>
      <c r="G16" s="313">
        <v>55.506999999999998</v>
      </c>
      <c r="H16" s="312"/>
      <c r="I16" s="312">
        <f>83.213-3.838614</f>
        <v>79.374385999999987</v>
      </c>
      <c r="J16" s="87"/>
      <c r="K16" s="87"/>
      <c r="AO16"/>
      <c r="AP16"/>
      <c r="AQ16"/>
      <c r="AR16"/>
    </row>
    <row r="17" spans="1:44" ht="11.45" customHeight="1">
      <c r="A17" s="314"/>
      <c r="B17" s="309" t="s">
        <v>93</v>
      </c>
      <c r="C17" s="310"/>
      <c r="D17" s="310"/>
      <c r="E17" s="298"/>
      <c r="F17" s="310"/>
      <c r="G17" s="313">
        <v>113.092</v>
      </c>
      <c r="H17" s="312"/>
      <c r="I17" s="312">
        <v>57.728999999999999</v>
      </c>
      <c r="J17" s="87"/>
      <c r="K17" s="87"/>
      <c r="AO17"/>
      <c r="AP17"/>
      <c r="AQ17"/>
      <c r="AR17"/>
    </row>
    <row r="18" spans="1:44" ht="11.45" customHeight="1">
      <c r="A18" s="318"/>
      <c r="B18" s="318" t="s">
        <v>33</v>
      </c>
      <c r="C18" s="319"/>
      <c r="D18" s="310"/>
      <c r="E18" s="298"/>
      <c r="F18" s="310"/>
      <c r="G18" s="313">
        <v>158.57300000000001</v>
      </c>
      <c r="H18" s="312"/>
      <c r="I18" s="320">
        <v>161.62299999999999</v>
      </c>
      <c r="J18" s="87"/>
      <c r="K18" s="87"/>
      <c r="AO18"/>
      <c r="AP18"/>
      <c r="AQ18"/>
      <c r="AR18"/>
    </row>
    <row r="19" spans="1:44" ht="11.45" customHeight="1">
      <c r="A19" s="316" t="s">
        <v>116</v>
      </c>
      <c r="B19" s="318"/>
      <c r="C19" s="321"/>
      <c r="D19" s="310"/>
      <c r="E19" s="298"/>
      <c r="F19" s="310"/>
      <c r="G19" s="317">
        <f>SUM(G13:G18)</f>
        <v>2435.1040000000003</v>
      </c>
      <c r="H19" s="312"/>
      <c r="I19" s="312">
        <f>SUM(I13:I18)</f>
        <v>2443.7823859999999</v>
      </c>
      <c r="J19" s="87"/>
      <c r="K19" s="87"/>
      <c r="AO19"/>
      <c r="AP19"/>
      <c r="AQ19"/>
      <c r="AR19"/>
    </row>
    <row r="20" spans="1:44" s="202" customFormat="1" ht="11.45" customHeight="1" thickBot="1">
      <c r="A20" s="322"/>
      <c r="B20" s="322" t="s">
        <v>7</v>
      </c>
      <c r="C20" s="323"/>
      <c r="D20" s="324"/>
      <c r="E20" s="305"/>
      <c r="F20" s="324"/>
      <c r="G20" s="325">
        <f>G12+G19</f>
        <v>2816.9910000000004</v>
      </c>
      <c r="H20" s="326"/>
      <c r="I20" s="325">
        <f>I12+I19</f>
        <v>2914.0873859999997</v>
      </c>
      <c r="J20" s="203"/>
      <c r="K20" s="203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</row>
    <row r="21" spans="1:44" ht="11.45" customHeight="1">
      <c r="A21" s="314"/>
      <c r="B21" s="309"/>
      <c r="C21" s="310"/>
      <c r="D21" s="310"/>
      <c r="E21" s="298"/>
      <c r="F21" s="310"/>
      <c r="G21" s="327"/>
      <c r="H21" s="312"/>
      <c r="I21" s="312"/>
      <c r="J21" s="87"/>
      <c r="K21" s="87"/>
      <c r="AO21"/>
      <c r="AP21"/>
      <c r="AQ21"/>
      <c r="AR21"/>
    </row>
    <row r="22" spans="1:44" ht="11.45" customHeight="1">
      <c r="A22" s="310" t="s">
        <v>8</v>
      </c>
      <c r="B22" s="310"/>
      <c r="C22" s="310"/>
      <c r="D22" s="310"/>
      <c r="E22" s="328"/>
      <c r="F22" s="310"/>
      <c r="G22" s="312"/>
      <c r="H22" s="312"/>
      <c r="I22" s="312"/>
      <c r="J22" s="87"/>
      <c r="K22" s="87"/>
      <c r="AO22"/>
      <c r="AP22"/>
      <c r="AQ22"/>
      <c r="AR22"/>
    </row>
    <row r="23" spans="1:44" ht="11.45" customHeight="1">
      <c r="A23" s="310"/>
      <c r="B23" s="310" t="s">
        <v>14</v>
      </c>
      <c r="C23" s="310"/>
      <c r="D23" s="310"/>
      <c r="E23" s="329">
        <v>10</v>
      </c>
      <c r="F23" s="310"/>
      <c r="G23" s="312">
        <v>38.750999999999998</v>
      </c>
      <c r="H23" s="330"/>
      <c r="I23" s="312">
        <v>24.847999999999999</v>
      </c>
      <c r="J23" s="87"/>
      <c r="K23" s="87"/>
      <c r="AO23"/>
      <c r="AP23"/>
      <c r="AQ23"/>
      <c r="AR23"/>
    </row>
    <row r="24" spans="1:44" ht="11.45" customHeight="1">
      <c r="A24" s="310"/>
      <c r="B24" s="310" t="s">
        <v>10</v>
      </c>
      <c r="C24" s="310"/>
      <c r="D24" s="310"/>
      <c r="E24" s="328"/>
      <c r="F24" s="310"/>
      <c r="G24" s="312">
        <v>54.911000000000001</v>
      </c>
      <c r="H24" s="312"/>
      <c r="I24" s="312">
        <v>52.555</v>
      </c>
      <c r="J24" s="87"/>
      <c r="K24" s="87"/>
      <c r="AO24"/>
      <c r="AP24"/>
      <c r="AQ24"/>
      <c r="AR24"/>
    </row>
    <row r="25" spans="1:44" ht="11.45" customHeight="1">
      <c r="A25" s="310"/>
      <c r="B25" s="310" t="s">
        <v>127</v>
      </c>
      <c r="C25" s="310"/>
      <c r="D25" s="310"/>
      <c r="E25" s="328"/>
      <c r="F25" s="310"/>
      <c r="G25" s="312">
        <v>133.28800000000001</v>
      </c>
      <c r="H25" s="312"/>
      <c r="I25" s="312">
        <v>196.53100000000001</v>
      </c>
      <c r="J25" s="87"/>
      <c r="K25" s="87"/>
      <c r="AO25"/>
      <c r="AP25"/>
      <c r="AQ25"/>
      <c r="AR25"/>
    </row>
    <row r="26" spans="1:44" ht="11.45" customHeight="1">
      <c r="A26" s="299"/>
      <c r="B26" s="299" t="s">
        <v>3</v>
      </c>
      <c r="C26" s="299"/>
      <c r="D26" s="299"/>
      <c r="E26" s="298"/>
      <c r="F26" s="299"/>
      <c r="G26" s="313">
        <v>19.402999999999999</v>
      </c>
      <c r="H26" s="313"/>
      <c r="I26" s="313">
        <v>24.423999999999999</v>
      </c>
      <c r="J26" s="87"/>
      <c r="K26" s="87"/>
      <c r="AO26"/>
      <c r="AP26"/>
      <c r="AQ26"/>
      <c r="AR26"/>
    </row>
    <row r="27" spans="1:44" ht="11.45" customHeight="1">
      <c r="A27" s="316"/>
      <c r="B27" s="316" t="s">
        <v>15</v>
      </c>
      <c r="C27" s="316"/>
      <c r="D27" s="310"/>
      <c r="E27" s="298"/>
      <c r="F27" s="310"/>
      <c r="G27" s="317">
        <f>SUM(G23:G26)</f>
        <v>246.35300000000001</v>
      </c>
      <c r="H27" s="312"/>
      <c r="I27" s="317">
        <f>SUM(I23:I26)</f>
        <v>298.35799999999995</v>
      </c>
      <c r="J27" s="87"/>
      <c r="K27" s="87"/>
      <c r="AO27"/>
      <c r="AP27"/>
      <c r="AQ27"/>
      <c r="AR27"/>
    </row>
    <row r="28" spans="1:44" ht="11.45" customHeight="1">
      <c r="A28" s="310"/>
      <c r="B28" s="310" t="s">
        <v>9</v>
      </c>
      <c r="C28" s="310"/>
      <c r="D28" s="310"/>
      <c r="E28" s="311">
        <v>10</v>
      </c>
      <c r="F28" s="310"/>
      <c r="G28" s="312">
        <v>1132.0450000000001</v>
      </c>
      <c r="H28" s="312"/>
      <c r="I28" s="312">
        <v>1099.9179999999999</v>
      </c>
      <c r="J28" s="87"/>
      <c r="K28" s="87"/>
      <c r="AO28"/>
      <c r="AP28"/>
      <c r="AQ28"/>
      <c r="AR28"/>
    </row>
    <row r="29" spans="1:44" ht="11.45" customHeight="1">
      <c r="A29" s="310"/>
      <c r="B29" s="314" t="s">
        <v>26</v>
      </c>
      <c r="C29" s="314"/>
      <c r="D29" s="310"/>
      <c r="E29" s="303"/>
      <c r="F29" s="310"/>
      <c r="G29" s="312">
        <v>2.5110000000000001</v>
      </c>
      <c r="H29" s="312"/>
      <c r="I29" s="312">
        <v>1.6040000000000001</v>
      </c>
      <c r="J29" s="87"/>
      <c r="K29" s="87"/>
      <c r="AO29"/>
      <c r="AP29"/>
      <c r="AQ29"/>
      <c r="AR29"/>
    </row>
    <row r="30" spans="1:44" ht="11.45" customHeight="1">
      <c r="A30" s="310"/>
      <c r="B30" s="310" t="s">
        <v>4</v>
      </c>
      <c r="C30" s="310"/>
      <c r="D30" s="310"/>
      <c r="E30" s="298"/>
      <c r="F30" s="310"/>
      <c r="G30" s="312">
        <v>76.67</v>
      </c>
      <c r="H30" s="312">
        <v>2</v>
      </c>
      <c r="I30" s="312">
        <v>50.451999999999998</v>
      </c>
      <c r="J30" s="87"/>
      <c r="K30" s="87"/>
      <c r="AO30"/>
      <c r="AP30"/>
      <c r="AQ30"/>
      <c r="AR30"/>
    </row>
    <row r="31" spans="1:44" ht="11.45" customHeight="1">
      <c r="A31" s="316"/>
      <c r="B31" s="316" t="s">
        <v>24</v>
      </c>
      <c r="C31" s="316"/>
      <c r="D31" s="310"/>
      <c r="E31" s="298"/>
      <c r="F31" s="310"/>
      <c r="G31" s="317">
        <f>SUM(G28:G30)</f>
        <v>1211.2260000000001</v>
      </c>
      <c r="H31" s="313"/>
      <c r="I31" s="317">
        <f>SUM(I28:I30)</f>
        <v>1151.9739999999999</v>
      </c>
      <c r="J31" s="87"/>
      <c r="K31" s="87"/>
      <c r="AO31"/>
      <c r="AP31"/>
      <c r="AQ31"/>
      <c r="AR31"/>
    </row>
    <row r="32" spans="1:44" ht="11.45" customHeight="1">
      <c r="A32" s="331"/>
      <c r="B32" s="299" t="s">
        <v>35</v>
      </c>
      <c r="C32" s="299"/>
      <c r="D32" s="310"/>
      <c r="E32" s="298"/>
      <c r="F32" s="310"/>
      <c r="G32" s="313"/>
      <c r="H32" s="313"/>
      <c r="I32" s="312"/>
      <c r="J32" s="87"/>
      <c r="K32" s="87"/>
      <c r="AO32"/>
      <c r="AP32"/>
      <c r="AQ32"/>
      <c r="AR32"/>
    </row>
    <row r="33" spans="1:44" ht="11.45" customHeight="1">
      <c r="A33" s="299"/>
      <c r="B33" s="299" t="s">
        <v>247</v>
      </c>
      <c r="C33" s="309"/>
      <c r="D33" s="310"/>
      <c r="E33" s="303"/>
      <c r="F33" s="310"/>
      <c r="G33" s="313">
        <f>Equity!D28</f>
        <v>133.69999999999999</v>
      </c>
      <c r="H33" s="313"/>
      <c r="I33" s="312">
        <v>104</v>
      </c>
      <c r="J33" s="87"/>
      <c r="K33" s="87"/>
      <c r="AO33"/>
      <c r="AP33"/>
      <c r="AQ33"/>
      <c r="AR33"/>
    </row>
    <row r="34" spans="1:44" ht="11.45" customHeight="1">
      <c r="A34" s="309"/>
      <c r="B34" s="309" t="s">
        <v>36</v>
      </c>
      <c r="C34" s="309"/>
      <c r="D34" s="314"/>
      <c r="E34" s="303"/>
      <c r="F34" s="314"/>
      <c r="G34" s="313">
        <f>Equity!F28</f>
        <v>-0.8</v>
      </c>
      <c r="H34" s="313"/>
      <c r="I34" s="312">
        <v>-1.1000000000000001</v>
      </c>
      <c r="J34" s="87"/>
      <c r="K34" s="87"/>
      <c r="AO34"/>
      <c r="AP34"/>
      <c r="AQ34"/>
      <c r="AR34"/>
    </row>
    <row r="35" spans="1:44" ht="11.45" customHeight="1">
      <c r="A35" s="318"/>
      <c r="B35" s="318" t="s">
        <v>22</v>
      </c>
      <c r="C35" s="318"/>
      <c r="D35" s="314"/>
      <c r="E35" s="303"/>
      <c r="F35" s="314"/>
      <c r="G35" s="320">
        <f>Equity!H28</f>
        <v>816.3</v>
      </c>
      <c r="H35" s="312"/>
      <c r="I35" s="320">
        <v>622.79999999999995</v>
      </c>
      <c r="J35" s="87"/>
      <c r="K35" s="87"/>
      <c r="AO35"/>
      <c r="AP35"/>
      <c r="AQ35"/>
      <c r="AR35"/>
    </row>
    <row r="36" spans="1:44" ht="11.45" customHeight="1">
      <c r="A36" s="309" t="s">
        <v>0</v>
      </c>
      <c r="B36" s="309" t="s">
        <v>34</v>
      </c>
      <c r="C36" s="309"/>
      <c r="D36" s="314"/>
      <c r="E36" s="303"/>
      <c r="F36" s="314"/>
      <c r="G36" s="313">
        <f>SUM(G33:G35)</f>
        <v>949.19999999999993</v>
      </c>
      <c r="H36" s="312"/>
      <c r="I36" s="312">
        <f>SUM(I33:I35)</f>
        <v>725.69999999999993</v>
      </c>
      <c r="J36" s="87"/>
      <c r="K36" s="87"/>
      <c r="AO36"/>
      <c r="AP36"/>
      <c r="AQ36"/>
      <c r="AR36"/>
    </row>
    <row r="37" spans="1:44" ht="11.45" customHeight="1">
      <c r="A37" s="309"/>
      <c r="B37" s="309" t="s">
        <v>23</v>
      </c>
      <c r="C37" s="309"/>
      <c r="D37" s="314"/>
      <c r="E37" s="303"/>
      <c r="F37" s="314"/>
      <c r="G37" s="313">
        <f>Equity!J28</f>
        <v>505.65929999999997</v>
      </c>
      <c r="H37" s="313"/>
      <c r="I37" s="312">
        <v>799.9</v>
      </c>
      <c r="J37" s="87"/>
      <c r="K37" s="87"/>
      <c r="AO37"/>
      <c r="AP37"/>
      <c r="AQ37"/>
      <c r="AR37"/>
    </row>
    <row r="38" spans="1:44" ht="11.45" customHeight="1">
      <c r="A38" s="309"/>
      <c r="B38" s="309" t="s">
        <v>117</v>
      </c>
      <c r="C38" s="309"/>
      <c r="D38" s="314"/>
      <c r="E38" s="303"/>
      <c r="F38" s="314"/>
      <c r="G38" s="313">
        <f>Equity!L28</f>
        <v>-95.5</v>
      </c>
      <c r="H38" s="313"/>
      <c r="I38" s="312">
        <v>-61.9</v>
      </c>
      <c r="J38" s="87"/>
      <c r="K38" s="87"/>
      <c r="AO38"/>
      <c r="AP38"/>
      <c r="AQ38"/>
      <c r="AR38"/>
    </row>
    <row r="39" spans="1:44" ht="11.45" customHeight="1">
      <c r="A39" s="316" t="s">
        <v>18</v>
      </c>
      <c r="B39" s="316"/>
      <c r="C39" s="316"/>
      <c r="D39" s="310"/>
      <c r="E39" s="311"/>
      <c r="F39" s="310"/>
      <c r="G39" s="317">
        <f>SUM(G36:G38)+0.03</f>
        <v>1359.3892999999998</v>
      </c>
      <c r="H39" s="313"/>
      <c r="I39" s="317">
        <f>SUM(I36:I38)</f>
        <v>1463.6999999999998</v>
      </c>
      <c r="K39" s="30"/>
      <c r="AM39"/>
      <c r="AN39"/>
      <c r="AO39"/>
      <c r="AP39"/>
      <c r="AQ39"/>
      <c r="AR39"/>
    </row>
    <row r="40" spans="1:44" s="202" customFormat="1" ht="11.45" customHeight="1" thickBot="1">
      <c r="A40" s="323"/>
      <c r="B40" s="323" t="s">
        <v>19</v>
      </c>
      <c r="C40" s="323"/>
      <c r="D40" s="324"/>
      <c r="E40" s="305"/>
      <c r="F40" s="324"/>
      <c r="G40" s="325">
        <f>G31+G39+G27</f>
        <v>2816.9683</v>
      </c>
      <c r="H40" s="326"/>
      <c r="I40" s="325">
        <f>I31+I39+I27+0.1</f>
        <v>2914.1320000000001</v>
      </c>
      <c r="J40" s="199"/>
      <c r="K40" s="200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</row>
    <row r="41" spans="1:44">
      <c r="A41" s="82"/>
      <c r="B41" s="1"/>
      <c r="C41" s="25"/>
      <c r="D41" s="25"/>
      <c r="E41" s="35"/>
      <c r="F41" s="25"/>
      <c r="G41" s="98"/>
      <c r="H41" s="24"/>
      <c r="I41" s="24"/>
      <c r="K41" s="86"/>
      <c r="AQ41"/>
      <c r="AR41"/>
    </row>
    <row r="42" spans="1:44">
      <c r="A42" s="1"/>
      <c r="B42" s="1"/>
      <c r="C42" s="1"/>
      <c r="D42" s="1"/>
      <c r="E42" s="4"/>
      <c r="F42" s="1"/>
      <c r="G42" s="111"/>
      <c r="H42" s="17"/>
      <c r="I42" s="17"/>
      <c r="J42" s="17"/>
      <c r="K42" s="36"/>
      <c r="AQ42"/>
      <c r="AR42"/>
    </row>
    <row r="43" spans="1:44">
      <c r="A43" s="1"/>
      <c r="B43" s="1"/>
      <c r="C43" s="1"/>
      <c r="D43" s="1"/>
      <c r="E43" s="4"/>
      <c r="F43" s="1"/>
      <c r="G43" s="122"/>
      <c r="H43" s="17"/>
      <c r="I43" s="17"/>
      <c r="J43" s="17"/>
      <c r="K43" s="17"/>
    </row>
    <row r="44" spans="1:44">
      <c r="A44" s="1"/>
      <c r="B44" s="1"/>
      <c r="C44" s="1"/>
      <c r="D44" s="1"/>
      <c r="E44" s="4"/>
      <c r="F44" s="1"/>
      <c r="G44" s="1"/>
      <c r="H44" s="17"/>
      <c r="I44" s="17"/>
      <c r="J44" s="17"/>
      <c r="K44" s="17"/>
    </row>
    <row r="45" spans="1:44">
      <c r="A45" s="1"/>
      <c r="B45" s="1"/>
      <c r="C45" s="1"/>
      <c r="D45" s="1"/>
      <c r="E45" s="4"/>
      <c r="F45" s="1"/>
      <c r="G45" s="1"/>
      <c r="H45" s="17"/>
      <c r="I45" s="17"/>
      <c r="J45" s="17"/>
      <c r="K45" s="17"/>
    </row>
    <row r="46" spans="1:44">
      <c r="A46" s="1"/>
      <c r="B46" s="1"/>
      <c r="C46" s="1"/>
      <c r="D46" s="1"/>
      <c r="E46" s="4"/>
      <c r="F46" s="1"/>
      <c r="G46" s="1"/>
      <c r="H46" s="17"/>
      <c r="I46" s="17"/>
      <c r="J46" s="17"/>
      <c r="K46" s="17"/>
    </row>
    <row r="47" spans="1:44">
      <c r="A47" s="1"/>
      <c r="B47" s="1"/>
      <c r="C47" s="1"/>
      <c r="D47" s="1"/>
      <c r="E47" s="4"/>
      <c r="F47" s="1"/>
      <c r="G47" s="1"/>
      <c r="H47" s="17"/>
      <c r="I47" s="17"/>
      <c r="J47" s="17"/>
      <c r="K47" s="17"/>
    </row>
    <row r="48" spans="1:44">
      <c r="A48" s="1"/>
      <c r="B48" s="1"/>
      <c r="C48" s="1"/>
      <c r="D48" s="1"/>
      <c r="E48" s="4"/>
      <c r="F48" s="1"/>
      <c r="G48" s="1"/>
      <c r="H48" s="17"/>
      <c r="I48" s="17"/>
      <c r="J48" s="17"/>
      <c r="K48" s="17"/>
    </row>
    <row r="49" spans="1:11">
      <c r="A49" s="1"/>
      <c r="B49" s="1"/>
      <c r="C49" s="1"/>
      <c r="D49" s="1"/>
      <c r="E49" s="4"/>
      <c r="F49" s="1"/>
      <c r="G49" s="1"/>
      <c r="H49" s="17"/>
      <c r="I49" s="17"/>
      <c r="J49" s="17"/>
      <c r="K49" s="17"/>
    </row>
    <row r="50" spans="1:11">
      <c r="A50" s="1"/>
      <c r="B50" s="1"/>
      <c r="C50" s="1"/>
      <c r="D50" s="1"/>
      <c r="E50" s="4"/>
      <c r="F50" s="1"/>
      <c r="G50" s="1"/>
      <c r="H50" s="17"/>
      <c r="I50" s="17"/>
      <c r="J50" s="17"/>
      <c r="K50" s="17"/>
    </row>
    <row r="51" spans="1:11">
      <c r="A51" s="1"/>
      <c r="B51" s="1"/>
      <c r="C51" s="1"/>
      <c r="D51" s="1"/>
      <c r="E51" s="4"/>
      <c r="F51" s="1"/>
      <c r="G51" s="1"/>
      <c r="H51" s="17"/>
      <c r="I51" s="17"/>
      <c r="J51" s="17"/>
      <c r="K51" s="17"/>
    </row>
    <row r="52" spans="1:11">
      <c r="A52" s="1"/>
      <c r="B52" s="1"/>
      <c r="C52" s="1"/>
      <c r="D52" s="1"/>
      <c r="E52" s="4"/>
      <c r="F52" s="1"/>
      <c r="G52" s="1"/>
      <c r="H52" s="17"/>
      <c r="I52" s="17"/>
      <c r="J52" s="17"/>
      <c r="K52" s="17"/>
    </row>
  </sheetData>
  <mergeCells count="2">
    <mergeCell ref="G3:H3"/>
    <mergeCell ref="A1:K1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70"/>
  <sheetViews>
    <sheetView showGridLines="0" zoomScaleNormal="100" workbookViewId="0">
      <selection sqref="A1:M1"/>
    </sheetView>
  </sheetViews>
  <sheetFormatPr defaultColWidth="9.140625" defaultRowHeight="12.75"/>
  <cols>
    <col min="1" max="1" width="2.140625" style="41" customWidth="1"/>
    <col min="2" max="2" width="0.7109375" style="41" customWidth="1"/>
    <col min="3" max="3" width="62.28515625" style="41" customWidth="1"/>
    <col min="4" max="4" width="1.7109375" style="41" customWidth="1"/>
    <col min="5" max="5" width="12.28515625" style="41" customWidth="1"/>
    <col min="6" max="6" width="1.140625" style="41" customWidth="1"/>
    <col min="7" max="7" width="12.28515625" style="41" customWidth="1"/>
    <col min="8" max="8" width="1.7109375" style="41" customWidth="1"/>
    <col min="9" max="9" width="10.85546875" style="41" customWidth="1"/>
    <col min="10" max="10" width="2.5703125" style="41" customWidth="1"/>
    <col min="11" max="11" width="14.42578125" style="41" customWidth="1"/>
    <col min="12" max="12" width="3.85546875" style="41" customWidth="1"/>
    <col min="13" max="13" width="2" style="41" customWidth="1"/>
    <col min="14" max="14" width="2.85546875" style="41" customWidth="1"/>
    <col min="15" max="15" width="12.28515625" style="41" customWidth="1"/>
    <col min="16" max="16" width="1.140625" style="41" customWidth="1"/>
    <col min="17" max="16384" width="9.140625" style="41"/>
  </cols>
  <sheetData>
    <row r="1" spans="1:21" s="1" customFormat="1" ht="18.75">
      <c r="A1" s="531" t="s">
        <v>98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104"/>
      <c r="O1" s="104"/>
      <c r="P1" s="104"/>
      <c r="Q1" s="8"/>
      <c r="R1" s="119"/>
      <c r="S1" s="8"/>
      <c r="T1" s="8"/>
      <c r="U1" s="8"/>
    </row>
    <row r="2" spans="1:21" s="1" customFormat="1" ht="11.25" customHeight="1" thickBot="1">
      <c r="A2" s="178"/>
      <c r="B2" s="178"/>
      <c r="C2" s="178"/>
      <c r="D2" s="178"/>
      <c r="E2" s="192"/>
      <c r="F2" s="192"/>
      <c r="G2" s="193"/>
      <c r="H2" s="178"/>
      <c r="I2" s="178"/>
      <c r="J2" s="178"/>
      <c r="K2" s="192"/>
      <c r="L2" s="193"/>
      <c r="M2" s="193"/>
      <c r="N2" s="83"/>
      <c r="O2" s="83"/>
      <c r="P2" s="123"/>
      <c r="Q2" s="8"/>
      <c r="R2" s="119"/>
      <c r="S2" s="8"/>
      <c r="T2" s="8"/>
      <c r="U2" s="8"/>
    </row>
    <row r="3" spans="1:21" s="39" customFormat="1" ht="11.45" customHeight="1">
      <c r="A3" s="139"/>
      <c r="B3" s="139"/>
      <c r="C3" s="139"/>
      <c r="D3" s="139"/>
      <c r="E3" s="532" t="s">
        <v>5</v>
      </c>
      <c r="F3" s="532"/>
      <c r="G3" s="532"/>
      <c r="H3" s="139"/>
      <c r="I3" s="532" t="s">
        <v>20</v>
      </c>
      <c r="J3" s="532"/>
      <c r="K3" s="532"/>
      <c r="L3" s="514"/>
      <c r="M3" s="151"/>
      <c r="N3" s="43"/>
      <c r="O3" s="43"/>
      <c r="P3" s="42"/>
    </row>
    <row r="4" spans="1:21" ht="11.45" customHeight="1">
      <c r="A4" s="139"/>
      <c r="B4" s="139"/>
      <c r="C4" s="152"/>
      <c r="D4" s="152"/>
      <c r="E4" s="533" t="s">
        <v>1</v>
      </c>
      <c r="F4" s="533"/>
      <c r="G4" s="533"/>
      <c r="H4" s="152"/>
      <c r="I4" s="533" t="s">
        <v>194</v>
      </c>
      <c r="J4" s="533"/>
      <c r="K4" s="533"/>
      <c r="L4" s="515"/>
      <c r="M4" s="153"/>
      <c r="N4" s="127"/>
      <c r="O4" s="127"/>
      <c r="P4" s="42"/>
    </row>
    <row r="5" spans="1:21" ht="11.45" customHeight="1" thickBot="1">
      <c r="A5" s="154" t="s">
        <v>103</v>
      </c>
      <c r="B5" s="150"/>
      <c r="C5" s="155"/>
      <c r="D5" s="152"/>
      <c r="E5" s="156">
        <v>2016</v>
      </c>
      <c r="F5" s="150"/>
      <c r="G5" s="156">
        <v>2015</v>
      </c>
      <c r="H5" s="152"/>
      <c r="I5" s="156">
        <v>2016</v>
      </c>
      <c r="J5" s="150"/>
      <c r="K5" s="156">
        <v>2015</v>
      </c>
      <c r="L5" s="150"/>
      <c r="M5" s="156"/>
      <c r="N5" s="90"/>
      <c r="O5" s="90"/>
      <c r="P5" s="42"/>
    </row>
    <row r="6" spans="1:21" ht="11.45" customHeight="1">
      <c r="A6" s="157"/>
      <c r="B6" s="157"/>
      <c r="C6" s="157"/>
      <c r="D6" s="157"/>
      <c r="E6" s="158" t="s">
        <v>0</v>
      </c>
      <c r="F6" s="158"/>
      <c r="G6" s="158"/>
      <c r="H6" s="157"/>
      <c r="I6" s="157"/>
      <c r="J6" s="157"/>
      <c r="K6" s="158"/>
      <c r="L6" s="158"/>
      <c r="M6" s="158"/>
      <c r="N6" s="89"/>
      <c r="O6" s="89"/>
      <c r="P6" s="89"/>
    </row>
    <row r="7" spans="1:21" ht="11.45" customHeight="1">
      <c r="A7" s="159"/>
      <c r="B7" s="160" t="s">
        <v>175</v>
      </c>
      <c r="C7" s="161"/>
      <c r="D7" s="162"/>
      <c r="E7" s="146">
        <f>'IS &amp; OCI'!F23</f>
        <v>-156.10370000000003</v>
      </c>
      <c r="F7" s="197"/>
      <c r="G7" s="146">
        <f>'IS &amp; OCI'!H23</f>
        <v>-334.59375100000011</v>
      </c>
      <c r="H7" s="162"/>
      <c r="I7" s="501">
        <f>'IS &amp; OCI'!J23</f>
        <v>-293.94069999999999</v>
      </c>
      <c r="J7" s="162"/>
      <c r="K7" s="146">
        <v>-527.9</v>
      </c>
      <c r="L7" s="197"/>
      <c r="M7" s="146"/>
      <c r="N7" s="93"/>
      <c r="O7" s="93"/>
      <c r="P7" s="100"/>
    </row>
    <row r="8" spans="1:21" ht="11.45" customHeight="1">
      <c r="A8" s="159"/>
      <c r="B8" s="162" t="s">
        <v>187</v>
      </c>
      <c r="C8" s="162"/>
      <c r="D8" s="171"/>
      <c r="E8" s="341">
        <v>147.4</v>
      </c>
      <c r="F8" s="163"/>
      <c r="G8" s="147">
        <v>414.3</v>
      </c>
      <c r="H8" s="171"/>
      <c r="I8" s="396">
        <f>345.5+E8+0.1</f>
        <v>493</v>
      </c>
      <c r="J8" s="171"/>
      <c r="K8" s="147">
        <v>865.8</v>
      </c>
      <c r="L8" s="163"/>
      <c r="M8" s="147"/>
      <c r="N8" s="91"/>
      <c r="O8" s="91"/>
      <c r="P8" s="94"/>
    </row>
    <row r="9" spans="1:21" ht="11.45" customHeight="1">
      <c r="A9" s="159"/>
      <c r="B9" s="162" t="s">
        <v>269</v>
      </c>
      <c r="C9" s="162"/>
      <c r="D9" s="171"/>
      <c r="E9" s="341">
        <f>-'IS &amp; OCI'!F18</f>
        <v>6.2130000000000001</v>
      </c>
      <c r="F9" s="163"/>
      <c r="G9" s="147">
        <v>6.9</v>
      </c>
      <c r="H9" s="171"/>
      <c r="I9" s="396">
        <f>23.9+E9</f>
        <v>30.113</v>
      </c>
      <c r="J9" s="171"/>
      <c r="K9" s="147">
        <v>16.100000000000001</v>
      </c>
      <c r="L9" s="163"/>
      <c r="M9" s="147"/>
      <c r="N9" s="91"/>
      <c r="O9" s="91"/>
      <c r="P9" s="94"/>
    </row>
    <row r="10" spans="1:21" ht="11.45" customHeight="1">
      <c r="A10" s="159"/>
      <c r="B10" s="162" t="s">
        <v>12</v>
      </c>
      <c r="C10" s="162"/>
      <c r="D10" s="171"/>
      <c r="E10" s="341">
        <f>-'IS &amp; OCI'!F19</f>
        <v>14.295</v>
      </c>
      <c r="F10" s="163"/>
      <c r="G10" s="147">
        <v>7.3</v>
      </c>
      <c r="H10" s="171"/>
      <c r="I10" s="396">
        <f>31.7+E10+0.1</f>
        <v>46.094999999999999</v>
      </c>
      <c r="J10" s="171"/>
      <c r="K10" s="147">
        <v>29.5</v>
      </c>
      <c r="L10" s="163"/>
      <c r="M10" s="147"/>
      <c r="N10" s="91"/>
      <c r="O10" s="91"/>
      <c r="P10" s="94"/>
    </row>
    <row r="11" spans="1:21" ht="11.45" customHeight="1">
      <c r="A11" s="159"/>
      <c r="B11" s="162" t="s">
        <v>186</v>
      </c>
      <c r="C11" s="162"/>
      <c r="D11" s="171"/>
      <c r="E11" s="341">
        <v>1.5</v>
      </c>
      <c r="F11" s="163"/>
      <c r="G11" s="147">
        <v>2.4</v>
      </c>
      <c r="H11" s="171"/>
      <c r="I11" s="396">
        <f>3+E11</f>
        <v>4.5</v>
      </c>
      <c r="J11" s="171"/>
      <c r="K11" s="147">
        <v>0.3</v>
      </c>
      <c r="L11" s="163"/>
      <c r="M11" s="147"/>
      <c r="N11" s="91"/>
      <c r="O11" s="91"/>
      <c r="P11" s="94"/>
    </row>
    <row r="12" spans="1:21" ht="11.45" customHeight="1">
      <c r="A12" s="159"/>
      <c r="B12" s="162" t="s">
        <v>268</v>
      </c>
      <c r="C12" s="162"/>
      <c r="D12" s="171"/>
      <c r="E12" s="341">
        <f>36.9+0.1</f>
        <v>37</v>
      </c>
      <c r="F12" s="163"/>
      <c r="G12" s="147">
        <v>-22.4</v>
      </c>
      <c r="H12" s="171"/>
      <c r="I12" s="396">
        <v>24.7</v>
      </c>
      <c r="J12" s="171"/>
      <c r="K12" s="147">
        <v>2.8</v>
      </c>
      <c r="L12" s="163"/>
      <c r="M12" s="147"/>
      <c r="N12" s="91"/>
      <c r="O12" s="91"/>
      <c r="P12" s="94"/>
    </row>
    <row r="13" spans="1:21" ht="11.45" customHeight="1">
      <c r="A13" s="159"/>
      <c r="B13" s="162" t="s">
        <v>86</v>
      </c>
      <c r="C13" s="162"/>
      <c r="D13" s="171"/>
      <c r="E13" s="341">
        <v>-1.3</v>
      </c>
      <c r="F13" s="163"/>
      <c r="G13" s="147">
        <v>-4.3</v>
      </c>
      <c r="H13" s="171"/>
      <c r="I13" s="396">
        <f>-6.1+E13</f>
        <v>-7.3999999999999995</v>
      </c>
      <c r="J13" s="171"/>
      <c r="K13" s="147">
        <v>-25.2</v>
      </c>
      <c r="L13" s="163"/>
      <c r="M13" s="147"/>
      <c r="N13" s="91"/>
      <c r="O13" s="91"/>
      <c r="P13" s="94"/>
    </row>
    <row r="14" spans="1:21" ht="11.45" customHeight="1">
      <c r="A14" s="159"/>
      <c r="B14" s="162" t="s">
        <v>85</v>
      </c>
      <c r="C14" s="162"/>
      <c r="D14" s="171"/>
      <c r="E14" s="341">
        <v>-6.3</v>
      </c>
      <c r="F14" s="163"/>
      <c r="G14" s="147">
        <v>5.4</v>
      </c>
      <c r="H14" s="171"/>
      <c r="I14" s="396">
        <f>7+E14</f>
        <v>0.70000000000000018</v>
      </c>
      <c r="J14" s="171"/>
      <c r="K14" s="147">
        <v>14.5</v>
      </c>
      <c r="L14" s="163"/>
      <c r="M14" s="147"/>
      <c r="N14" s="91"/>
      <c r="O14" s="91"/>
      <c r="P14" s="94"/>
    </row>
    <row r="15" spans="1:21" ht="11.45" customHeight="1">
      <c r="A15" s="159"/>
      <c r="B15" s="162" t="s">
        <v>95</v>
      </c>
      <c r="C15" s="162"/>
      <c r="D15" s="171"/>
      <c r="E15" s="341">
        <v>34.200000000000003</v>
      </c>
      <c r="F15" s="163"/>
      <c r="G15" s="147">
        <v>28.3</v>
      </c>
      <c r="H15" s="171"/>
      <c r="I15" s="396">
        <f>18+E15</f>
        <v>52.2</v>
      </c>
      <c r="J15" s="171"/>
      <c r="K15" s="147">
        <v>172.1</v>
      </c>
      <c r="L15" s="163"/>
      <c r="M15" s="147"/>
      <c r="N15" s="91"/>
      <c r="O15" s="91"/>
      <c r="P15" s="94"/>
    </row>
    <row r="16" spans="1:21" ht="11.45" customHeight="1">
      <c r="A16" s="159"/>
      <c r="B16" s="162" t="s">
        <v>84</v>
      </c>
      <c r="C16" s="162"/>
      <c r="D16" s="171"/>
      <c r="E16" s="341">
        <v>-0.2</v>
      </c>
      <c r="F16" s="163"/>
      <c r="G16" s="147">
        <v>-4</v>
      </c>
      <c r="H16" s="171"/>
      <c r="I16" s="396">
        <f>10.1+E16</f>
        <v>9.9</v>
      </c>
      <c r="J16" s="171"/>
      <c r="K16" s="147">
        <v>-33.9</v>
      </c>
      <c r="L16" s="163"/>
      <c r="M16" s="147"/>
      <c r="N16" s="91"/>
      <c r="O16" s="91"/>
      <c r="P16" s="94"/>
    </row>
    <row r="17" spans="1:16" ht="11.45" customHeight="1">
      <c r="A17" s="159"/>
      <c r="B17" s="162" t="s">
        <v>128</v>
      </c>
      <c r="C17" s="162"/>
      <c r="D17" s="171"/>
      <c r="E17" s="341">
        <v>-7.5</v>
      </c>
      <c r="F17" s="163"/>
      <c r="G17" s="147">
        <v>26.7</v>
      </c>
      <c r="H17" s="171"/>
      <c r="I17" s="396">
        <f>-25.5+E17</f>
        <v>-33</v>
      </c>
      <c r="J17" s="171"/>
      <c r="K17" s="147">
        <v>0.4</v>
      </c>
      <c r="L17" s="163"/>
      <c r="M17" s="147"/>
      <c r="N17" s="91"/>
      <c r="O17" s="91"/>
      <c r="P17" s="94"/>
    </row>
    <row r="18" spans="1:16" ht="11.45" customHeight="1">
      <c r="A18" s="159"/>
      <c r="B18" s="162" t="s">
        <v>100</v>
      </c>
      <c r="C18" s="162"/>
      <c r="D18" s="171"/>
      <c r="E18" s="341">
        <v>-4.5</v>
      </c>
      <c r="F18" s="163"/>
      <c r="G18" s="147">
        <f>-27.3+22.4</f>
        <v>-4.9000000000000021</v>
      </c>
      <c r="H18" s="171"/>
      <c r="I18" s="396">
        <v>-6.1</v>
      </c>
      <c r="J18" s="171"/>
      <c r="K18" s="147">
        <v>-26.4</v>
      </c>
      <c r="L18" s="163"/>
      <c r="M18" s="147"/>
      <c r="N18" s="91"/>
      <c r="O18" s="91"/>
      <c r="P18" s="94"/>
    </row>
    <row r="19" spans="1:16" ht="11.45" customHeight="1">
      <c r="A19" s="166"/>
      <c r="B19" s="167" t="s">
        <v>168</v>
      </c>
      <c r="C19" s="168"/>
      <c r="D19" s="169"/>
      <c r="E19" s="345">
        <f>SUM(E7:E18)</f>
        <v>64.704299999999975</v>
      </c>
      <c r="F19" s="197"/>
      <c r="G19" s="149">
        <f>SUM(G7:G18)-0.1</f>
        <v>121.00624899999993</v>
      </c>
      <c r="H19" s="169"/>
      <c r="I19" s="149">
        <f>SUM(I7:I18)+0.1</f>
        <v>320.86729999999994</v>
      </c>
      <c r="J19" s="169"/>
      <c r="K19" s="149">
        <f>SUM(K7:K18)-0.2</f>
        <v>487.90000000000003</v>
      </c>
      <c r="L19" s="197"/>
      <c r="M19" s="146"/>
      <c r="N19" s="93"/>
      <c r="O19" s="93"/>
      <c r="P19" s="94"/>
    </row>
    <row r="20" spans="1:16" ht="11.45" customHeight="1">
      <c r="A20" s="159"/>
      <c r="B20" s="162" t="s">
        <v>83</v>
      </c>
      <c r="C20" s="162"/>
      <c r="D20" s="171"/>
      <c r="E20" s="341">
        <v>-47.8</v>
      </c>
      <c r="F20" s="163"/>
      <c r="G20" s="147">
        <v>-70.2</v>
      </c>
      <c r="H20" s="171"/>
      <c r="I20" s="396">
        <f>-153.1+E20-0.1</f>
        <v>-200.99999999999997</v>
      </c>
      <c r="J20" s="171"/>
      <c r="K20" s="147">
        <v>-303.3</v>
      </c>
      <c r="L20" s="163"/>
      <c r="M20" s="147"/>
      <c r="N20" s="91"/>
      <c r="O20" s="91"/>
      <c r="P20" s="94"/>
    </row>
    <row r="21" spans="1:16" ht="11.45" customHeight="1">
      <c r="A21" s="159"/>
      <c r="B21" s="162" t="s">
        <v>96</v>
      </c>
      <c r="C21" s="162"/>
      <c r="D21" s="171"/>
      <c r="E21" s="341">
        <v>-25.9</v>
      </c>
      <c r="F21" s="163"/>
      <c r="G21" s="147">
        <v>-47.2</v>
      </c>
      <c r="H21" s="171"/>
      <c r="I21" s="394">
        <f>-192.3+E21</f>
        <v>-218.20000000000002</v>
      </c>
      <c r="J21" s="171"/>
      <c r="K21" s="147">
        <v>-164</v>
      </c>
      <c r="L21" s="163"/>
      <c r="M21" s="147"/>
      <c r="N21" s="397"/>
      <c r="O21" s="397"/>
      <c r="P21" s="94"/>
    </row>
    <row r="22" spans="1:16" ht="11.45" customHeight="1">
      <c r="A22" s="159"/>
      <c r="B22" s="162" t="s">
        <v>82</v>
      </c>
      <c r="C22" s="157"/>
      <c r="D22" s="171"/>
      <c r="E22" s="341">
        <v>-3.5</v>
      </c>
      <c r="F22" s="163"/>
      <c r="G22" s="147">
        <v>-4.5</v>
      </c>
      <c r="H22" s="171"/>
      <c r="I22" s="394">
        <f>-7.6+E22</f>
        <v>-11.1</v>
      </c>
      <c r="J22" s="171"/>
      <c r="K22" s="147">
        <v>-19</v>
      </c>
      <c r="L22" s="163"/>
      <c r="M22" s="147"/>
      <c r="N22" s="91"/>
      <c r="O22" s="91"/>
      <c r="P22" s="94"/>
    </row>
    <row r="23" spans="1:16" ht="11.45" customHeight="1">
      <c r="A23" s="159"/>
      <c r="B23" s="162" t="s">
        <v>101</v>
      </c>
      <c r="C23" s="132"/>
      <c r="D23" s="171"/>
      <c r="E23" s="341">
        <v>0</v>
      </c>
      <c r="F23" s="163"/>
      <c r="G23" s="147">
        <v>-9</v>
      </c>
      <c r="H23" s="171"/>
      <c r="I23" s="394">
        <f>-93.1+E23</f>
        <v>-93.1</v>
      </c>
      <c r="J23" s="171"/>
      <c r="K23" s="147">
        <v>-24.2</v>
      </c>
      <c r="L23" s="163"/>
      <c r="M23" s="147"/>
      <c r="N23" s="91"/>
      <c r="O23" s="91"/>
      <c r="P23" s="93"/>
    </row>
    <row r="24" spans="1:16" ht="11.45" customHeight="1">
      <c r="A24" s="159"/>
      <c r="B24" s="132" t="s">
        <v>126</v>
      </c>
      <c r="C24" s="132"/>
      <c r="D24" s="171"/>
      <c r="E24" s="341">
        <v>1</v>
      </c>
      <c r="F24" s="163"/>
      <c r="G24" s="147">
        <v>1.5</v>
      </c>
      <c r="H24" s="171"/>
      <c r="I24" s="394">
        <f>1.5+E24</f>
        <v>2.5</v>
      </c>
      <c r="J24" s="171"/>
      <c r="K24" s="147">
        <v>88.6</v>
      </c>
      <c r="L24" s="163"/>
      <c r="M24" s="147"/>
      <c r="N24" s="91"/>
      <c r="O24" s="91"/>
      <c r="P24" s="93"/>
    </row>
    <row r="25" spans="1:16" ht="11.45" customHeight="1">
      <c r="A25" s="172"/>
      <c r="B25" s="162" t="s">
        <v>124</v>
      </c>
      <c r="C25" s="162"/>
      <c r="D25" s="171"/>
      <c r="E25" s="341">
        <v>-4.5</v>
      </c>
      <c r="F25" s="163"/>
      <c r="G25" s="147">
        <v>-2</v>
      </c>
      <c r="H25" s="171"/>
      <c r="I25" s="394">
        <f>-3.4+E25+0.1</f>
        <v>-7.8000000000000007</v>
      </c>
      <c r="J25" s="171"/>
      <c r="K25" s="147">
        <v>-5</v>
      </c>
      <c r="L25" s="163"/>
      <c r="M25" s="147"/>
      <c r="N25" s="91"/>
      <c r="O25" s="91"/>
      <c r="P25" s="94"/>
    </row>
    <row r="26" spans="1:16" ht="11.45" customHeight="1">
      <c r="A26" s="166"/>
      <c r="B26" s="167" t="s">
        <v>125</v>
      </c>
      <c r="C26" s="167"/>
      <c r="D26" s="169"/>
      <c r="E26" s="345">
        <f>SUM(E20:E25)</f>
        <v>-80.699999999999989</v>
      </c>
      <c r="F26" s="197"/>
      <c r="G26" s="149">
        <f>SUM(G20:G25)</f>
        <v>-131.4</v>
      </c>
      <c r="H26" s="169"/>
      <c r="I26" s="149">
        <f>SUM(I20:I25)</f>
        <v>-528.69999999999993</v>
      </c>
      <c r="J26" s="169"/>
      <c r="K26" s="149">
        <f>SUM(K20:K25)</f>
        <v>-426.9</v>
      </c>
      <c r="L26" s="197"/>
      <c r="M26" s="146"/>
      <c r="N26" s="93"/>
      <c r="O26" s="93"/>
      <c r="P26" s="94"/>
    </row>
    <row r="27" spans="1:16" ht="11.45" customHeight="1">
      <c r="A27" s="172"/>
      <c r="B27" s="173" t="s">
        <v>107</v>
      </c>
      <c r="C27" s="173"/>
      <c r="D27" s="171"/>
      <c r="E27" s="354">
        <v>-10.4</v>
      </c>
      <c r="F27" s="163"/>
      <c r="G27" s="147">
        <v>-1.8</v>
      </c>
      <c r="H27" s="171"/>
      <c r="I27" s="394">
        <f>112.8+E27+0.1</f>
        <v>102.49999999999999</v>
      </c>
      <c r="J27" s="171"/>
      <c r="K27" s="147">
        <v>35.799999999999997</v>
      </c>
      <c r="L27" s="163"/>
      <c r="M27" s="147"/>
      <c r="N27" s="91"/>
      <c r="O27" s="91"/>
      <c r="P27" s="94"/>
    </row>
    <row r="28" spans="1:16" ht="11.45" customHeight="1">
      <c r="A28" s="172"/>
      <c r="B28" s="173" t="s">
        <v>170</v>
      </c>
      <c r="C28" s="173"/>
      <c r="D28" s="174"/>
      <c r="E28" s="354">
        <v>-210</v>
      </c>
      <c r="F28" s="148"/>
      <c r="G28" s="147">
        <v>-6.2</v>
      </c>
      <c r="H28" s="174"/>
      <c r="I28" s="396">
        <f>-25.3+E28</f>
        <v>-235.3</v>
      </c>
      <c r="J28" s="174"/>
      <c r="K28" s="147">
        <v>-24.8</v>
      </c>
      <c r="L28" s="148"/>
      <c r="M28" s="147"/>
      <c r="N28" s="91"/>
      <c r="O28" s="91"/>
      <c r="P28" s="93"/>
    </row>
    <row r="29" spans="1:16" ht="11.45" customHeight="1">
      <c r="A29" s="172"/>
      <c r="B29" s="173" t="s">
        <v>130</v>
      </c>
      <c r="C29" s="173"/>
      <c r="D29" s="174"/>
      <c r="E29" s="341">
        <v>30</v>
      </c>
      <c r="F29" s="148"/>
      <c r="G29" s="147">
        <v>-65</v>
      </c>
      <c r="H29" s="174"/>
      <c r="I29" s="396">
        <f>135+E29</f>
        <v>165</v>
      </c>
      <c r="J29" s="174"/>
      <c r="K29" s="147">
        <v>-75</v>
      </c>
      <c r="L29" s="148"/>
      <c r="M29" s="147"/>
      <c r="N29" s="91"/>
      <c r="O29" s="91"/>
      <c r="P29" s="93"/>
    </row>
    <row r="30" spans="1:16" ht="11.45" hidden="1" customHeight="1">
      <c r="A30" s="172"/>
      <c r="B30" s="173" t="s">
        <v>81</v>
      </c>
      <c r="C30" s="132"/>
      <c r="D30" s="171"/>
      <c r="E30" s="341">
        <v>0</v>
      </c>
      <c r="F30" s="163"/>
      <c r="G30" s="147">
        <v>0</v>
      </c>
      <c r="H30" s="171"/>
      <c r="I30" s="394"/>
      <c r="J30" s="171"/>
      <c r="K30" s="147">
        <v>0</v>
      </c>
      <c r="L30" s="163"/>
      <c r="M30" s="147"/>
      <c r="N30" s="91"/>
      <c r="O30" s="91"/>
      <c r="P30" s="94"/>
    </row>
    <row r="31" spans="1:16" ht="11.45" customHeight="1">
      <c r="A31" s="159"/>
      <c r="B31" s="173" t="s">
        <v>190</v>
      </c>
      <c r="C31" s="132"/>
      <c r="D31" s="171"/>
      <c r="E31" s="341">
        <v>217.1</v>
      </c>
      <c r="F31" s="164"/>
      <c r="G31" s="147">
        <v>104.2</v>
      </c>
      <c r="H31" s="171"/>
      <c r="I31" s="394">
        <f>+E31</f>
        <v>217.1</v>
      </c>
      <c r="J31" s="171"/>
      <c r="K31" s="147">
        <v>104.2</v>
      </c>
      <c r="L31" s="164"/>
      <c r="M31" s="147"/>
      <c r="N31" s="91"/>
      <c r="O31" s="91"/>
      <c r="P31" s="97"/>
    </row>
    <row r="32" spans="1:16" ht="11.45" customHeight="1">
      <c r="A32" s="159"/>
      <c r="B32" s="173" t="s">
        <v>89</v>
      </c>
      <c r="C32" s="132"/>
      <c r="D32" s="171"/>
      <c r="E32" s="341">
        <v>0</v>
      </c>
      <c r="F32" s="164"/>
      <c r="G32" s="147">
        <v>0</v>
      </c>
      <c r="H32" s="171"/>
      <c r="I32" s="394">
        <f>+E32</f>
        <v>0</v>
      </c>
      <c r="J32" s="171"/>
      <c r="K32" s="147">
        <v>-20.3</v>
      </c>
      <c r="L32" s="164"/>
      <c r="M32" s="147"/>
      <c r="N32" s="91"/>
      <c r="O32" s="91"/>
      <c r="P32" s="97"/>
    </row>
    <row r="33" spans="1:16" ht="11.45" customHeight="1">
      <c r="A33" s="159"/>
      <c r="B33" s="173" t="s">
        <v>80</v>
      </c>
      <c r="C33" s="173"/>
      <c r="D33" s="171"/>
      <c r="E33" s="341">
        <v>-26.3</v>
      </c>
      <c r="F33" s="164"/>
      <c r="G33" s="147">
        <v>-21.5</v>
      </c>
      <c r="H33" s="171"/>
      <c r="I33" s="394">
        <f>-35.1+E33</f>
        <v>-61.400000000000006</v>
      </c>
      <c r="J33" s="171"/>
      <c r="K33" s="147">
        <v>-54</v>
      </c>
      <c r="L33" s="164"/>
      <c r="M33" s="147"/>
      <c r="N33" s="91"/>
      <c r="O33" s="91"/>
      <c r="P33" s="97"/>
    </row>
    <row r="34" spans="1:16" ht="11.45" customHeight="1">
      <c r="A34" s="166"/>
      <c r="B34" s="167" t="s">
        <v>97</v>
      </c>
      <c r="C34" s="167"/>
      <c r="D34" s="169"/>
      <c r="E34" s="345">
        <f>SUM(E27:E33)</f>
        <v>0.39999999999998792</v>
      </c>
      <c r="F34" s="197"/>
      <c r="G34" s="149">
        <f>SUM(G27:G33)</f>
        <v>9.7000000000000028</v>
      </c>
      <c r="H34" s="169"/>
      <c r="I34" s="345">
        <f>SUM(I27:I33)</f>
        <v>187.89999999999998</v>
      </c>
      <c r="J34" s="169"/>
      <c r="K34" s="149">
        <f>SUM(K27:K33)</f>
        <v>-34.099999999999994</v>
      </c>
      <c r="L34" s="197"/>
      <c r="M34" s="146"/>
      <c r="N34" s="93"/>
      <c r="O34" s="93"/>
      <c r="P34" s="94"/>
    </row>
    <row r="35" spans="1:16" ht="11.45" customHeight="1">
      <c r="A35" s="172"/>
      <c r="B35" s="162" t="s">
        <v>171</v>
      </c>
      <c r="C35" s="172"/>
      <c r="D35" s="169"/>
      <c r="E35" s="147">
        <f>+E34+E26+E19</f>
        <v>-15.595700000000022</v>
      </c>
      <c r="F35" s="163"/>
      <c r="G35" s="147">
        <f>+G34+G26+G19</f>
        <v>-0.69375100000007706</v>
      </c>
      <c r="H35" s="169"/>
      <c r="I35" s="147">
        <f>+I34+I26+I19</f>
        <v>-19.932700000000011</v>
      </c>
      <c r="J35" s="169"/>
      <c r="K35" s="147">
        <f>+K34+K26+K19</f>
        <v>26.900000000000034</v>
      </c>
      <c r="L35" s="163"/>
      <c r="M35" s="147"/>
      <c r="N35" s="91"/>
      <c r="O35" s="91"/>
      <c r="P35" s="94"/>
    </row>
    <row r="36" spans="1:16" ht="11.45" customHeight="1">
      <c r="A36" s="172"/>
      <c r="B36" s="162" t="s">
        <v>79</v>
      </c>
      <c r="C36" s="172"/>
      <c r="D36" s="169"/>
      <c r="E36" s="147">
        <v>77.3</v>
      </c>
      <c r="F36" s="163"/>
      <c r="G36" s="147">
        <v>82.3</v>
      </c>
      <c r="H36" s="169"/>
      <c r="I36" s="522">
        <f>K37</f>
        <v>81.600000000000037</v>
      </c>
      <c r="J36" s="169"/>
      <c r="K36" s="147">
        <v>54.7</v>
      </c>
      <c r="L36" s="163"/>
      <c r="M36" s="147"/>
      <c r="N36" s="91"/>
      <c r="O36" s="91"/>
      <c r="P36" s="94"/>
    </row>
    <row r="37" spans="1:16" ht="11.45" customHeight="1" thickBot="1">
      <c r="A37" s="175" t="s">
        <v>78</v>
      </c>
      <c r="B37" s="175"/>
      <c r="C37" s="175"/>
      <c r="D37" s="169"/>
      <c r="E37" s="176">
        <f>SUM(E35:E36)</f>
        <v>61.704299999999975</v>
      </c>
      <c r="F37" s="177"/>
      <c r="G37" s="176">
        <f>SUM(G35:G36)</f>
        <v>81.60624899999992</v>
      </c>
      <c r="H37" s="169"/>
      <c r="I37" s="176">
        <f>SUM(I35:I36)</f>
        <v>61.667300000000026</v>
      </c>
      <c r="J37" s="169"/>
      <c r="K37" s="176">
        <f>SUM(K35:K36)</f>
        <v>81.600000000000037</v>
      </c>
      <c r="L37" s="177"/>
      <c r="M37" s="146"/>
      <c r="N37" s="96"/>
      <c r="O37" s="96"/>
      <c r="P37" s="105"/>
    </row>
    <row r="38" spans="1:16">
      <c r="A38" s="1"/>
      <c r="B38" s="2" t="s">
        <v>0</v>
      </c>
      <c r="C38" s="2"/>
      <c r="D38" s="2"/>
      <c r="E38" s="2"/>
      <c r="F38" s="2"/>
      <c r="G38" s="32"/>
      <c r="H38" s="2"/>
      <c r="I38" s="2"/>
      <c r="J38" s="2"/>
      <c r="K38" s="2"/>
      <c r="L38" s="32"/>
      <c r="M38" s="2"/>
      <c r="N38" s="2"/>
      <c r="O38" s="2"/>
      <c r="P38" s="2"/>
    </row>
    <row r="39" spans="1:16">
      <c r="A39" s="39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2"/>
      <c r="P39" s="81"/>
    </row>
    <row r="40" spans="1:16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81"/>
      <c r="P40" s="39"/>
    </row>
    <row r="41" spans="1:16">
      <c r="A41" s="39" t="s">
        <v>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>
      <c r="A42" s="39" t="s">
        <v>0</v>
      </c>
      <c r="B42" s="39"/>
      <c r="C42" s="39"/>
      <c r="D42" s="39"/>
      <c r="E42" s="39"/>
      <c r="F42" s="39"/>
      <c r="G42" s="39"/>
      <c r="H42" s="39"/>
      <c r="I42" s="71"/>
      <c r="J42" s="39"/>
      <c r="K42" s="39"/>
      <c r="L42" s="39"/>
      <c r="M42" s="39"/>
      <c r="N42" s="39"/>
      <c r="O42" s="39"/>
      <c r="P42" s="39"/>
    </row>
    <row r="43" spans="1:16">
      <c r="A43" s="39"/>
      <c r="B43" s="39"/>
      <c r="C43" s="39" t="s">
        <v>112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>
      <c r="A44" s="39"/>
      <c r="B44" s="39"/>
      <c r="C44" s="39"/>
      <c r="D44" s="39"/>
      <c r="E44" s="39"/>
      <c r="F44" s="39"/>
    </row>
    <row r="45" spans="1:16">
      <c r="A45" s="39"/>
      <c r="B45" s="39"/>
      <c r="C45" s="162"/>
      <c r="D45" s="39"/>
      <c r="E45" s="39"/>
      <c r="F45" s="39"/>
    </row>
    <row r="46" spans="1:16">
      <c r="A46" s="39"/>
      <c r="B46" s="39"/>
      <c r="C46" s="39"/>
      <c r="D46" s="39"/>
      <c r="E46" s="39"/>
      <c r="F46" s="39"/>
    </row>
    <row r="47" spans="1:16">
      <c r="A47" s="39"/>
      <c r="B47" s="39"/>
      <c r="C47" s="39"/>
      <c r="D47" s="39"/>
      <c r="E47" s="39"/>
      <c r="F47" s="39"/>
    </row>
    <row r="48" spans="1:16">
      <c r="A48" s="39"/>
      <c r="B48" s="39"/>
      <c r="C48" s="39"/>
      <c r="D48" s="39"/>
      <c r="E48" s="39"/>
      <c r="F48" s="39"/>
    </row>
    <row r="49" spans="1:16">
      <c r="A49" s="39"/>
      <c r="B49" s="39"/>
      <c r="C49" s="39"/>
      <c r="D49" s="39"/>
      <c r="E49" s="39"/>
      <c r="F49" s="39"/>
    </row>
    <row r="50" spans="1:16">
      <c r="A50" s="39"/>
      <c r="B50" s="39"/>
      <c r="C50" s="39"/>
      <c r="D50" s="39"/>
      <c r="E50" s="39"/>
      <c r="F50" s="39"/>
    </row>
    <row r="51" spans="1:16">
      <c r="A51" s="39"/>
      <c r="B51" s="39"/>
      <c r="C51" s="39"/>
      <c r="D51" s="39"/>
      <c r="E51" s="39"/>
      <c r="F51" s="39"/>
    </row>
    <row r="52" spans="1:16">
      <c r="A52" s="39"/>
      <c r="B52" s="39"/>
      <c r="C52" s="39"/>
      <c r="D52" s="39"/>
      <c r="E52" s="39"/>
      <c r="F52" s="39"/>
    </row>
    <row r="53" spans="1:16">
      <c r="A53" s="39"/>
      <c r="B53" s="39"/>
      <c r="C53" s="39"/>
      <c r="D53" s="39"/>
      <c r="E53" s="39"/>
      <c r="F53" s="39"/>
    </row>
    <row r="54" spans="1:16">
      <c r="A54" s="39"/>
      <c r="B54" s="39"/>
      <c r="C54" s="39"/>
      <c r="D54" s="39"/>
      <c r="E54" s="39"/>
      <c r="F54" s="39"/>
    </row>
    <row r="55" spans="1:16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>
      <c r="O70" s="39"/>
    </row>
  </sheetData>
  <mergeCells count="5">
    <mergeCell ref="A1:M1"/>
    <mergeCell ref="E3:G3"/>
    <mergeCell ref="E4:G4"/>
    <mergeCell ref="I3:K3"/>
    <mergeCell ref="I4:K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6" orientation="portrait" r:id="rId1"/>
  <headerFooter alignWithMargins="0"/>
  <colBreaks count="1" manualBreakCount="1">
    <brk id="14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31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1" customWidth="1"/>
    <col min="2" max="2" width="41.5703125" style="41" customWidth="1"/>
    <col min="3" max="3" width="1.7109375" style="41" customWidth="1"/>
    <col min="4" max="4" width="9.5703125" style="41" customWidth="1"/>
    <col min="5" max="5" width="1.7109375" style="41" customWidth="1"/>
    <col min="6" max="6" width="8.85546875" style="41" customWidth="1"/>
    <col min="7" max="7" width="1.7109375" style="41" customWidth="1"/>
    <col min="8" max="8" width="8.7109375" style="41" customWidth="1"/>
    <col min="9" max="9" width="1.7109375" style="41" customWidth="1"/>
    <col min="10" max="10" width="10.85546875" style="41" bestFit="1" customWidth="1"/>
    <col min="11" max="11" width="1.7109375" style="41" customWidth="1"/>
    <col min="12" max="12" width="12.85546875" style="41" customWidth="1"/>
    <col min="13" max="13" width="1.7109375" style="41" customWidth="1"/>
    <col min="14" max="14" width="9.28515625" style="41" customWidth="1"/>
    <col min="15" max="15" width="1.7109375" style="41" customWidth="1"/>
    <col min="16" max="16" width="11.7109375" style="41" customWidth="1"/>
    <col min="17" max="18" width="9.140625" style="41"/>
    <col min="19" max="19" width="11.140625" style="41" bestFit="1" customWidth="1"/>
    <col min="20" max="16384" width="9.140625" style="41"/>
  </cols>
  <sheetData>
    <row r="1" spans="1:26" s="1" customFormat="1" ht="18.75">
      <c r="A1" s="531" t="s">
        <v>122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104"/>
      <c r="P1" s="104"/>
      <c r="Q1" s="104"/>
      <c r="R1" s="9"/>
      <c r="S1" s="112"/>
      <c r="T1" s="8"/>
      <c r="U1" s="8"/>
      <c r="V1" s="8"/>
      <c r="W1" s="119"/>
      <c r="X1" s="8"/>
      <c r="Y1" s="8"/>
      <c r="Z1" s="8"/>
    </row>
    <row r="2" spans="1:26" s="1" customFormat="1" ht="11.25" customHeight="1" thickBot="1">
      <c r="A2" s="178"/>
      <c r="B2" s="178"/>
      <c r="C2" s="178"/>
      <c r="D2" s="178"/>
      <c r="E2" s="178"/>
      <c r="F2" s="192"/>
      <c r="G2" s="192"/>
      <c r="H2" s="193"/>
      <c r="I2" s="193"/>
      <c r="J2" s="193"/>
      <c r="K2" s="295"/>
      <c r="L2" s="295"/>
      <c r="M2" s="296"/>
      <c r="N2" s="296"/>
      <c r="O2" s="83"/>
      <c r="P2" s="83"/>
      <c r="Q2" s="83"/>
      <c r="R2" s="20"/>
      <c r="S2" s="113"/>
      <c r="T2" s="8"/>
      <c r="U2" s="8"/>
      <c r="V2" s="8"/>
      <c r="W2" s="119"/>
      <c r="X2" s="8"/>
      <c r="Y2" s="8"/>
      <c r="Z2" s="8"/>
    </row>
    <row r="3" spans="1:26" ht="18.75">
      <c r="A3" s="383" t="s">
        <v>225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26" ht="11.45" customHeight="1">
      <c r="A4" s="50" t="s">
        <v>0</v>
      </c>
      <c r="B4" s="50"/>
      <c r="C4" s="50"/>
      <c r="D4" s="538" t="s">
        <v>87</v>
      </c>
      <c r="E4" s="538"/>
      <c r="F4" s="538"/>
      <c r="G4" s="538"/>
      <c r="H4" s="538"/>
      <c r="I4" s="538"/>
      <c r="J4" s="538"/>
      <c r="K4" s="538"/>
      <c r="L4" s="538"/>
      <c r="M4" s="136"/>
      <c r="N4" s="136"/>
      <c r="O4" s="50"/>
      <c r="P4" s="50"/>
    </row>
    <row r="5" spans="1:26" ht="11.45" customHeight="1">
      <c r="A5" s="39"/>
      <c r="B5" s="39"/>
      <c r="C5" s="40"/>
      <c r="D5" s="137" t="s">
        <v>58</v>
      </c>
      <c r="E5" s="137"/>
      <c r="F5" s="138" t="s">
        <v>57</v>
      </c>
      <c r="G5" s="138"/>
      <c r="H5" s="137" t="s">
        <v>56</v>
      </c>
      <c r="I5" s="139"/>
      <c r="J5" s="137"/>
      <c r="K5" s="137" t="s">
        <v>0</v>
      </c>
      <c r="L5" s="138" t="s">
        <v>118</v>
      </c>
      <c r="M5" s="138"/>
      <c r="N5" s="138"/>
      <c r="O5" s="67"/>
      <c r="P5" s="68"/>
      <c r="Q5" s="39"/>
      <c r="R5" s="39"/>
      <c r="S5" s="39"/>
      <c r="V5" s="39"/>
    </row>
    <row r="6" spans="1:26" ht="11.45" customHeight="1">
      <c r="A6" s="39"/>
      <c r="B6" s="39"/>
      <c r="C6" s="40"/>
      <c r="D6" s="140" t="s">
        <v>54</v>
      </c>
      <c r="E6" s="140"/>
      <c r="F6" s="138" t="s">
        <v>53</v>
      </c>
      <c r="G6" s="138"/>
      <c r="H6" s="137" t="s">
        <v>52</v>
      </c>
      <c r="I6" s="139"/>
      <c r="J6" s="137" t="s">
        <v>55</v>
      </c>
      <c r="K6" s="137" t="s">
        <v>0</v>
      </c>
      <c r="L6" s="138" t="s">
        <v>119</v>
      </c>
      <c r="M6" s="138"/>
      <c r="N6" s="138" t="s">
        <v>50</v>
      </c>
      <c r="O6" s="67"/>
      <c r="P6" s="67"/>
      <c r="Q6" s="39"/>
      <c r="R6" s="39"/>
      <c r="S6" s="39"/>
      <c r="V6" s="39"/>
    </row>
    <row r="7" spans="1:26" ht="11.45" customHeight="1">
      <c r="A7" s="135" t="s">
        <v>104</v>
      </c>
      <c r="B7" s="63"/>
      <c r="C7" s="40"/>
      <c r="D7" s="141" t="s">
        <v>49</v>
      </c>
      <c r="E7" s="142"/>
      <c r="F7" s="141" t="s">
        <v>49</v>
      </c>
      <c r="G7" s="143"/>
      <c r="H7" s="141" t="s">
        <v>48</v>
      </c>
      <c r="I7" s="143"/>
      <c r="J7" s="144" t="s">
        <v>51</v>
      </c>
      <c r="K7" s="142" t="s">
        <v>0</v>
      </c>
      <c r="L7" s="141" t="s">
        <v>120</v>
      </c>
      <c r="M7" s="143"/>
      <c r="N7" s="141" t="s">
        <v>47</v>
      </c>
      <c r="O7" s="65"/>
      <c r="P7" s="66"/>
      <c r="Q7" s="39"/>
      <c r="R7" s="39"/>
      <c r="S7" s="39"/>
      <c r="T7" s="39"/>
      <c r="U7" s="39"/>
      <c r="V7" s="39"/>
    </row>
    <row r="8" spans="1:26" s="62" customFormat="1" ht="11.45" customHeight="1">
      <c r="A8" s="130" t="s">
        <v>159</v>
      </c>
      <c r="B8" s="130"/>
      <c r="C8" s="45"/>
      <c r="D8" s="145">
        <v>96.5</v>
      </c>
      <c r="E8" s="145" t="s">
        <v>0</v>
      </c>
      <c r="F8" s="145">
        <v>-1.9</v>
      </c>
      <c r="G8" s="145" t="s">
        <v>0</v>
      </c>
      <c r="H8" s="145">
        <v>526.9</v>
      </c>
      <c r="I8" s="145" t="s">
        <v>0</v>
      </c>
      <c r="J8" s="145">
        <v>1340.9</v>
      </c>
      <c r="K8" s="145" t="s">
        <v>0</v>
      </c>
      <c r="L8" s="145">
        <v>-60.8</v>
      </c>
      <c r="M8" s="145" t="s">
        <v>0</v>
      </c>
      <c r="N8" s="146">
        <f t="shared" ref="N8:N27" si="0">SUM(D8:L8)</f>
        <v>1901.6000000000001</v>
      </c>
      <c r="O8" s="116"/>
      <c r="P8" s="96"/>
      <c r="Q8" s="45"/>
      <c r="R8" s="45"/>
      <c r="S8" s="45"/>
      <c r="T8" s="45"/>
      <c r="U8" s="45"/>
      <c r="V8" s="45"/>
    </row>
    <row r="9" spans="1:26" s="46" customFormat="1" ht="11.45" customHeight="1">
      <c r="A9" s="131"/>
      <c r="B9" s="132" t="s">
        <v>46</v>
      </c>
      <c r="C9" s="47"/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-527.9</v>
      </c>
      <c r="K9" s="147"/>
      <c r="L9" s="147">
        <v>-1.1000000000000001</v>
      </c>
      <c r="M9" s="147">
        <v>1.3</v>
      </c>
      <c r="N9" s="148">
        <f t="shared" si="0"/>
        <v>-529</v>
      </c>
      <c r="O9" s="114"/>
      <c r="P9" s="93"/>
      <c r="Q9" s="64"/>
      <c r="R9" s="49"/>
      <c r="S9" s="49"/>
      <c r="T9" s="49"/>
      <c r="U9" s="49"/>
      <c r="V9" s="49"/>
    </row>
    <row r="10" spans="1:26" s="46" customFormat="1" ht="11.45" customHeight="1">
      <c r="A10" s="131"/>
      <c r="B10" s="132" t="s">
        <v>231</v>
      </c>
      <c r="C10" s="47"/>
      <c r="D10" s="147">
        <v>7.5</v>
      </c>
      <c r="E10" s="147"/>
      <c r="F10" s="147">
        <v>0</v>
      </c>
      <c r="G10" s="147"/>
      <c r="H10" s="147">
        <v>89.2</v>
      </c>
      <c r="I10" s="147"/>
      <c r="J10" s="147">
        <v>0</v>
      </c>
      <c r="K10" s="147"/>
      <c r="L10" s="147">
        <v>0</v>
      </c>
      <c r="M10" s="147"/>
      <c r="N10" s="148">
        <f t="shared" si="0"/>
        <v>96.7</v>
      </c>
      <c r="O10" s="114"/>
      <c r="P10" s="93"/>
      <c r="Q10" s="64"/>
      <c r="R10" s="49"/>
      <c r="S10" s="49"/>
      <c r="T10" s="49"/>
      <c r="U10" s="49"/>
      <c r="V10" s="49"/>
    </row>
    <row r="11" spans="1:26" s="46" customFormat="1" ht="11.45" customHeight="1">
      <c r="A11" s="131"/>
      <c r="B11" s="132" t="s">
        <v>230</v>
      </c>
      <c r="C11" s="47"/>
      <c r="D11" s="147">
        <v>0</v>
      </c>
      <c r="E11" s="147"/>
      <c r="F11" s="147">
        <v>0.6</v>
      </c>
      <c r="G11" s="147"/>
      <c r="H11" s="147">
        <v>0</v>
      </c>
      <c r="I11" s="147"/>
      <c r="J11" s="147">
        <v>7.3</v>
      </c>
      <c r="K11" s="147"/>
      <c r="L11" s="147">
        <v>0</v>
      </c>
      <c r="M11" s="147"/>
      <c r="N11" s="148">
        <f t="shared" si="0"/>
        <v>7.8999999999999995</v>
      </c>
      <c r="O11" s="114"/>
      <c r="P11" s="93"/>
      <c r="Q11" s="64"/>
      <c r="R11" s="49"/>
      <c r="S11" s="49"/>
      <c r="T11" s="49"/>
      <c r="U11" s="49"/>
      <c r="V11" s="49"/>
    </row>
    <row r="12" spans="1:26" s="46" customFormat="1" ht="11.45" customHeight="1">
      <c r="A12" s="131"/>
      <c r="B12" s="132" t="s">
        <v>232</v>
      </c>
      <c r="C12" s="47"/>
      <c r="D12" s="147">
        <v>0</v>
      </c>
      <c r="E12" s="147"/>
      <c r="F12" s="147">
        <v>0</v>
      </c>
      <c r="G12" s="147"/>
      <c r="H12" s="147">
        <v>0</v>
      </c>
      <c r="I12" s="147"/>
      <c r="J12" s="147">
        <v>-20.3</v>
      </c>
      <c r="K12" s="147"/>
      <c r="L12" s="147">
        <v>0</v>
      </c>
      <c r="M12" s="147"/>
      <c r="N12" s="148">
        <f t="shared" si="0"/>
        <v>-20.3</v>
      </c>
      <c r="O12" s="114"/>
      <c r="P12" s="93"/>
      <c r="Q12" s="64"/>
      <c r="R12" s="49"/>
      <c r="S12" s="49"/>
      <c r="T12" s="49"/>
      <c r="U12" s="49"/>
      <c r="V12" s="49"/>
    </row>
    <row r="13" spans="1:26" s="46" customFormat="1" ht="11.45" customHeight="1">
      <c r="A13" s="131"/>
      <c r="B13" s="133" t="s">
        <v>115</v>
      </c>
      <c r="C13" s="47"/>
      <c r="D13" s="147">
        <v>0</v>
      </c>
      <c r="E13" s="147">
        <v>0</v>
      </c>
      <c r="F13" s="147">
        <v>0.2</v>
      </c>
      <c r="G13" s="147">
        <v>0</v>
      </c>
      <c r="H13" s="147">
        <v>6.7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8">
        <f t="shared" si="0"/>
        <v>6.9</v>
      </c>
      <c r="O13" s="114"/>
      <c r="P13" s="93"/>
      <c r="Q13" s="64"/>
      <c r="R13" s="49"/>
      <c r="S13" s="49"/>
      <c r="T13" s="49"/>
      <c r="U13" s="49"/>
      <c r="V13" s="49"/>
    </row>
    <row r="14" spans="1:26" s="62" customFormat="1" ht="11.45" customHeight="1">
      <c r="A14" s="134" t="s">
        <v>226</v>
      </c>
      <c r="B14" s="134"/>
      <c r="C14" s="45"/>
      <c r="D14" s="149">
        <f>SUM(D8:D13)</f>
        <v>104</v>
      </c>
      <c r="E14" s="146"/>
      <c r="F14" s="149">
        <f>SUM(F8:F13)</f>
        <v>-1.0999999999999999</v>
      </c>
      <c r="G14" s="146"/>
      <c r="H14" s="149">
        <f>SUM(H8:H13)</f>
        <v>622.80000000000007</v>
      </c>
      <c r="I14" s="146"/>
      <c r="J14" s="149">
        <f>SUM(J8:J13)-0.1</f>
        <v>799.90000000000009</v>
      </c>
      <c r="K14" s="146"/>
      <c r="L14" s="149">
        <f>SUM(L8:L13)</f>
        <v>-61.9</v>
      </c>
      <c r="M14" s="146"/>
      <c r="N14" s="149">
        <f>SUM(D14:L14)</f>
        <v>1463.7</v>
      </c>
      <c r="O14" s="116"/>
      <c r="P14" s="96"/>
      <c r="Q14" s="45"/>
      <c r="R14" s="45"/>
      <c r="S14" s="45"/>
      <c r="T14" s="45"/>
      <c r="U14" s="45"/>
      <c r="V14" s="45"/>
    </row>
    <row r="15" spans="1:26" s="62" customFormat="1" ht="11.45" customHeight="1">
      <c r="A15" s="450" t="s">
        <v>233</v>
      </c>
      <c r="B15" s="130"/>
      <c r="C15" s="13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96"/>
      <c r="P15" s="96"/>
      <c r="Q15" s="45"/>
      <c r="R15" s="45"/>
      <c r="S15" s="45"/>
      <c r="T15" s="45"/>
      <c r="U15" s="45"/>
      <c r="V15" s="45"/>
    </row>
    <row r="16" spans="1:26" s="62" customFormat="1" ht="11.45" customHeight="1">
      <c r="A16" s="450" t="s">
        <v>234</v>
      </c>
      <c r="B16" s="130"/>
      <c r="C16" s="13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96"/>
      <c r="P16" s="95"/>
      <c r="Q16" s="45"/>
      <c r="R16" s="45"/>
      <c r="S16" s="45"/>
      <c r="T16" s="45"/>
      <c r="U16" s="45"/>
      <c r="V16" s="45"/>
    </row>
    <row r="17" spans="1:22" ht="10.5" customHeight="1">
      <c r="A17" s="450" t="s">
        <v>235</v>
      </c>
    </row>
    <row r="18" spans="1:22" s="118" customFormat="1" ht="11.45" customHeight="1">
      <c r="A18" s="82"/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17"/>
      <c r="R18" s="117"/>
      <c r="S18" s="117"/>
      <c r="T18" s="117"/>
      <c r="U18" s="117"/>
      <c r="V18" s="117"/>
    </row>
    <row r="19" spans="1:22" s="62" customFormat="1" ht="11.45" customHeight="1">
      <c r="A19" s="383" t="s">
        <v>224</v>
      </c>
      <c r="B19" s="45"/>
      <c r="C19" s="4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45"/>
      <c r="R19" s="45"/>
      <c r="S19" s="45"/>
      <c r="T19" s="45"/>
      <c r="U19" s="45"/>
      <c r="V19" s="45"/>
    </row>
    <row r="20" spans="1:22" ht="11.45" customHeight="1">
      <c r="A20" s="50" t="s">
        <v>0</v>
      </c>
      <c r="B20" s="50"/>
      <c r="C20" s="50"/>
      <c r="D20" s="538" t="s">
        <v>87</v>
      </c>
      <c r="E20" s="538"/>
      <c r="F20" s="538"/>
      <c r="G20" s="538"/>
      <c r="H20" s="538"/>
      <c r="I20" s="538"/>
      <c r="J20" s="538"/>
      <c r="K20" s="538"/>
      <c r="L20" s="538"/>
      <c r="M20" s="136"/>
      <c r="N20" s="136"/>
      <c r="O20" s="50"/>
      <c r="P20" s="50"/>
    </row>
    <row r="21" spans="1:22" ht="11.45" customHeight="1">
      <c r="A21" s="39"/>
      <c r="B21" s="39"/>
      <c r="C21" s="40"/>
      <c r="D21" s="137" t="s">
        <v>58</v>
      </c>
      <c r="E21" s="137"/>
      <c r="F21" s="138" t="s">
        <v>57</v>
      </c>
      <c r="G21" s="138"/>
      <c r="H21" s="137" t="s">
        <v>56</v>
      </c>
      <c r="I21" s="139"/>
      <c r="J21" s="137"/>
      <c r="K21" s="137" t="s">
        <v>0</v>
      </c>
      <c r="L21" s="138" t="s">
        <v>118</v>
      </c>
      <c r="M21" s="138"/>
      <c r="N21" s="138"/>
      <c r="O21" s="67"/>
      <c r="P21" s="68"/>
      <c r="Q21" s="39"/>
      <c r="R21" s="39"/>
      <c r="S21" s="39"/>
      <c r="V21" s="39"/>
    </row>
    <row r="22" spans="1:22" ht="11.45" customHeight="1">
      <c r="A22" s="39"/>
      <c r="B22" s="39"/>
      <c r="C22" s="40"/>
      <c r="D22" s="140" t="s">
        <v>54</v>
      </c>
      <c r="E22" s="140"/>
      <c r="F22" s="138" t="s">
        <v>53</v>
      </c>
      <c r="G22" s="138"/>
      <c r="H22" s="137" t="s">
        <v>52</v>
      </c>
      <c r="I22" s="139"/>
      <c r="J22" s="137" t="s">
        <v>55</v>
      </c>
      <c r="K22" s="137" t="s">
        <v>0</v>
      </c>
      <c r="L22" s="138" t="s">
        <v>119</v>
      </c>
      <c r="M22" s="138"/>
      <c r="N22" s="138" t="s">
        <v>50</v>
      </c>
      <c r="O22" s="67"/>
      <c r="P22" s="67"/>
      <c r="Q22" s="39"/>
      <c r="R22" s="39"/>
      <c r="S22" s="120"/>
      <c r="V22" s="39"/>
    </row>
    <row r="23" spans="1:22" ht="11.45" customHeight="1">
      <c r="A23" s="135" t="s">
        <v>104</v>
      </c>
      <c r="B23" s="63"/>
      <c r="C23" s="40"/>
      <c r="D23" s="141" t="s">
        <v>49</v>
      </c>
      <c r="E23" s="142"/>
      <c r="F23" s="141" t="s">
        <v>49</v>
      </c>
      <c r="G23" s="143"/>
      <c r="H23" s="141" t="s">
        <v>48</v>
      </c>
      <c r="I23" s="143"/>
      <c r="J23" s="144" t="s">
        <v>51</v>
      </c>
      <c r="K23" s="142" t="s">
        <v>0</v>
      </c>
      <c r="L23" s="141" t="s">
        <v>120</v>
      </c>
      <c r="M23" s="143"/>
      <c r="N23" s="141" t="s">
        <v>47</v>
      </c>
      <c r="O23" s="65"/>
      <c r="P23" s="66"/>
      <c r="Q23" s="39"/>
      <c r="R23" s="39"/>
      <c r="S23" s="120"/>
      <c r="T23" s="39"/>
      <c r="U23" s="39"/>
      <c r="V23" s="39"/>
    </row>
    <row r="24" spans="1:22" s="62" customFormat="1" ht="11.45" customHeight="1">
      <c r="A24" s="130" t="s">
        <v>195</v>
      </c>
      <c r="B24" s="130"/>
      <c r="C24" s="130"/>
      <c r="D24" s="145">
        <v>104</v>
      </c>
      <c r="E24" s="145">
        <v>0</v>
      </c>
      <c r="F24" s="145">
        <v>-1.1000000000000001</v>
      </c>
      <c r="G24" s="145">
        <v>0</v>
      </c>
      <c r="H24" s="145">
        <v>622.79999999999995</v>
      </c>
      <c r="I24" s="145">
        <v>0</v>
      </c>
      <c r="J24" s="145">
        <v>799.9</v>
      </c>
      <c r="K24" s="145">
        <v>0</v>
      </c>
      <c r="L24" s="145">
        <v>-61.9</v>
      </c>
      <c r="M24" s="146"/>
      <c r="N24" s="146">
        <f t="shared" si="0"/>
        <v>1463.6999999999998</v>
      </c>
      <c r="O24" s="96"/>
      <c r="P24" s="95"/>
      <c r="Q24" s="45"/>
      <c r="R24" s="45"/>
      <c r="S24" s="121"/>
      <c r="T24" s="45"/>
      <c r="U24" s="45"/>
      <c r="V24" s="45"/>
    </row>
    <row r="25" spans="1:22" s="46" customFormat="1" ht="11.45" customHeight="1">
      <c r="A25" s="131"/>
      <c r="B25" s="132" t="s">
        <v>46</v>
      </c>
      <c r="C25" s="131"/>
      <c r="D25" s="148">
        <v>0</v>
      </c>
      <c r="E25" s="148"/>
      <c r="F25" s="148">
        <v>0</v>
      </c>
      <c r="G25" s="148"/>
      <c r="H25" s="148">
        <v>0</v>
      </c>
      <c r="I25" s="148"/>
      <c r="J25" s="148">
        <f>+'IS &amp; OCI'!J23</f>
        <v>-293.94069999999999</v>
      </c>
      <c r="K25" s="148"/>
      <c r="L25" s="148">
        <f>+'IS &amp; OCI'!J28</f>
        <v>-33.599999999999994</v>
      </c>
      <c r="M25" s="148"/>
      <c r="N25" s="148">
        <f t="shared" si="0"/>
        <v>-327.54070000000002</v>
      </c>
      <c r="O25" s="93"/>
      <c r="P25" s="93"/>
      <c r="Q25" s="64"/>
      <c r="R25" s="49"/>
      <c r="S25" s="19"/>
      <c r="T25" s="49"/>
      <c r="U25" s="49"/>
      <c r="V25" s="49"/>
    </row>
    <row r="26" spans="1:22" s="46" customFormat="1" ht="11.45" customHeight="1">
      <c r="A26" s="131"/>
      <c r="B26" s="132" t="s">
        <v>231</v>
      </c>
      <c r="C26" s="47"/>
      <c r="D26" s="147">
        <v>29.7</v>
      </c>
      <c r="E26" s="147"/>
      <c r="F26" s="147">
        <v>0</v>
      </c>
      <c r="G26" s="147"/>
      <c r="H26" s="147">
        <v>187.4</v>
      </c>
      <c r="I26" s="147"/>
      <c r="J26" s="147">
        <v>0</v>
      </c>
      <c r="K26" s="147"/>
      <c r="L26" s="147">
        <v>0</v>
      </c>
      <c r="M26" s="147"/>
      <c r="N26" s="148">
        <f t="shared" ref="N26" si="1">SUM(D26:L26)</f>
        <v>217.1</v>
      </c>
      <c r="O26" s="114"/>
      <c r="P26" s="93"/>
      <c r="Q26" s="64"/>
      <c r="R26" s="49"/>
      <c r="S26" s="49"/>
      <c r="T26" s="49"/>
      <c r="U26" s="49"/>
      <c r="V26" s="49"/>
    </row>
    <row r="27" spans="1:22" s="46" customFormat="1" ht="11.45" customHeight="1">
      <c r="A27" s="131"/>
      <c r="B27" s="133" t="s">
        <v>115</v>
      </c>
      <c r="C27" s="131"/>
      <c r="D27" s="148">
        <v>0</v>
      </c>
      <c r="E27" s="148"/>
      <c r="F27" s="148">
        <v>0.3</v>
      </c>
      <c r="G27" s="148"/>
      <c r="H27" s="148">
        <v>6.1</v>
      </c>
      <c r="I27" s="148" t="s">
        <v>0</v>
      </c>
      <c r="J27" s="148">
        <v>-0.3</v>
      </c>
      <c r="K27" s="148"/>
      <c r="L27" s="148">
        <v>0</v>
      </c>
      <c r="M27" s="148"/>
      <c r="N27" s="148">
        <f t="shared" si="0"/>
        <v>6.1</v>
      </c>
      <c r="O27" s="93"/>
      <c r="P27" s="93"/>
      <c r="Q27" s="48"/>
      <c r="R27" s="49"/>
      <c r="S27" s="49"/>
      <c r="T27" s="49"/>
      <c r="U27" s="49"/>
      <c r="V27" s="49"/>
    </row>
    <row r="28" spans="1:22" s="62" customFormat="1" ht="11.45" customHeight="1">
      <c r="A28" s="134" t="s">
        <v>227</v>
      </c>
      <c r="B28" s="134"/>
      <c r="C28" s="130"/>
      <c r="D28" s="149">
        <f t="shared" ref="D28:L28" si="2">SUM(D24:D27)</f>
        <v>133.69999999999999</v>
      </c>
      <c r="E28" s="149">
        <f t="shared" si="2"/>
        <v>0</v>
      </c>
      <c r="F28" s="149">
        <f t="shared" si="2"/>
        <v>-0.8</v>
      </c>
      <c r="G28" s="149">
        <f t="shared" si="2"/>
        <v>0</v>
      </c>
      <c r="H28" s="149">
        <f t="shared" si="2"/>
        <v>816.3</v>
      </c>
      <c r="I28" s="149">
        <f t="shared" si="2"/>
        <v>0</v>
      </c>
      <c r="J28" s="149">
        <f t="shared" si="2"/>
        <v>505.65929999999997</v>
      </c>
      <c r="K28" s="149">
        <f t="shared" si="2"/>
        <v>0</v>
      </c>
      <c r="L28" s="149">
        <f t="shared" si="2"/>
        <v>-95.5</v>
      </c>
      <c r="M28" s="146"/>
      <c r="N28" s="149">
        <f>SUM(D28:L28)</f>
        <v>1359.3592999999998</v>
      </c>
      <c r="O28" s="96"/>
      <c r="P28" s="95"/>
      <c r="Q28" s="45"/>
      <c r="R28" s="45"/>
      <c r="S28" s="45"/>
      <c r="T28" s="45"/>
      <c r="U28" s="45"/>
      <c r="V28" s="45"/>
    </row>
    <row r="29" spans="1:22" s="62" customFormat="1" ht="11.45" customHeight="1">
      <c r="A29" s="528" t="s">
        <v>265</v>
      </c>
      <c r="B29" s="130"/>
      <c r="C29" s="130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30"/>
      <c r="P29" s="530"/>
      <c r="Q29" s="45"/>
      <c r="R29" s="45"/>
      <c r="S29" s="45"/>
      <c r="T29" s="45"/>
      <c r="U29" s="45"/>
      <c r="V29" s="45"/>
    </row>
    <row r="30" spans="1:22">
      <c r="A30" s="528" t="s">
        <v>267</v>
      </c>
    </row>
    <row r="31" spans="1:22">
      <c r="A31" s="528" t="s">
        <v>266</v>
      </c>
    </row>
  </sheetData>
  <mergeCells count="3">
    <mergeCell ref="D4:L4"/>
    <mergeCell ref="D20:L20"/>
    <mergeCell ref="A1:N1"/>
  </mergeCells>
  <pageMargins left="0.5" right="0.25" top="0.39369999999999999" bottom="0.25" header="0.31490000000000001" footer="0.23619999999999999"/>
  <pageSetup scale="86" orientation="portrait" r:id="rId1"/>
  <ignoredErrors>
    <ignoredError sqref="N13 N9" formulaRange="1"/>
    <ignoredError sqref="N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289"/>
  <sheetViews>
    <sheetView showGridLines="0" zoomScale="110" zoomScaleNormal="110" workbookViewId="0">
      <selection activeCell="B1" sqref="B1"/>
    </sheetView>
  </sheetViews>
  <sheetFormatPr defaultColWidth="9.140625" defaultRowHeight="12.75"/>
  <cols>
    <col min="1" max="1" width="2.5703125" style="39" customWidth="1"/>
    <col min="2" max="2" width="59.140625" style="39" customWidth="1"/>
    <col min="3" max="3" width="1.7109375" style="39" customWidth="1"/>
    <col min="4" max="4" width="10.7109375" style="39" customWidth="1"/>
    <col min="5" max="5" width="1.7109375" style="39" customWidth="1"/>
    <col min="6" max="6" width="11.7109375" style="39" customWidth="1"/>
    <col min="7" max="7" width="1.7109375" style="39" customWidth="1"/>
    <col min="8" max="8" width="12.140625" style="39" customWidth="1"/>
    <col min="9" max="9" width="1.7109375" style="39" customWidth="1"/>
    <col min="10" max="10" width="13.140625" style="39" customWidth="1"/>
    <col min="11" max="11" width="1.7109375" style="39" customWidth="1"/>
    <col min="12" max="12" width="13.140625" style="39" customWidth="1"/>
    <col min="13" max="13" width="3.140625" style="39" customWidth="1"/>
    <col min="14" max="14" width="1.7109375" style="374" customWidth="1"/>
    <col min="15" max="15" width="2.28515625" style="40" bestFit="1" customWidth="1"/>
    <col min="16" max="16" width="13.140625" style="71" customWidth="1"/>
    <col min="17" max="17" width="8" style="39" customWidth="1"/>
    <col min="18" max="20" width="9.140625" style="39" customWidth="1"/>
    <col min="21" max="16384" width="9.140625" style="39"/>
  </cols>
  <sheetData>
    <row r="1" spans="1:28" s="1" customFormat="1" ht="18.75">
      <c r="A1" s="382" t="s">
        <v>228</v>
      </c>
      <c r="B1" s="381"/>
      <c r="C1" s="381"/>
      <c r="D1" s="381"/>
      <c r="E1" s="381"/>
      <c r="F1" s="381"/>
      <c r="G1" s="381"/>
      <c r="H1" s="381"/>
      <c r="I1" s="381"/>
      <c r="J1" s="384"/>
      <c r="K1" s="384"/>
      <c r="L1" s="381"/>
      <c r="M1" s="381"/>
      <c r="N1" s="381"/>
      <c r="O1" s="381"/>
      <c r="P1" s="381"/>
      <c r="Q1" s="104"/>
      <c r="R1" s="104"/>
      <c r="S1" s="104"/>
      <c r="T1" s="9"/>
      <c r="U1" s="112"/>
      <c r="V1" s="8"/>
      <c r="W1" s="8"/>
      <c r="X1" s="8"/>
      <c r="Y1" s="119"/>
      <c r="Z1" s="8"/>
      <c r="AA1" s="8"/>
      <c r="AB1" s="8"/>
    </row>
    <row r="2" spans="1:28" s="1" customFormat="1" ht="13.5" customHeight="1" thickBot="1">
      <c r="A2" s="178" t="s">
        <v>0</v>
      </c>
      <c r="B2" s="178"/>
      <c r="C2" s="178"/>
      <c r="D2" s="178"/>
      <c r="E2" s="178"/>
      <c r="F2" s="192"/>
      <c r="G2" s="192"/>
      <c r="H2" s="193"/>
      <c r="I2" s="178"/>
      <c r="J2" s="178"/>
      <c r="K2" s="178"/>
      <c r="L2" s="192"/>
      <c r="M2" s="193"/>
      <c r="N2" s="365"/>
      <c r="O2" s="295"/>
      <c r="P2" s="123"/>
      <c r="Q2" s="83"/>
      <c r="R2" s="83"/>
      <c r="S2" s="83"/>
      <c r="T2" s="20"/>
      <c r="U2" s="113"/>
      <c r="V2" s="8"/>
      <c r="W2" s="8"/>
      <c r="X2" s="8"/>
      <c r="Y2" s="119"/>
      <c r="Z2" s="8"/>
      <c r="AA2" s="8"/>
      <c r="AB2" s="8"/>
    </row>
    <row r="3" spans="1:28" s="1" customFormat="1" ht="11.25" customHeight="1">
      <c r="A3" s="333"/>
      <c r="B3" s="333"/>
      <c r="C3" s="333"/>
      <c r="D3" s="333"/>
      <c r="E3" s="333"/>
      <c r="F3" s="334"/>
      <c r="G3" s="334"/>
      <c r="H3" s="335"/>
      <c r="I3" s="333"/>
      <c r="J3" s="385"/>
      <c r="K3" s="385"/>
      <c r="L3" s="334"/>
      <c r="M3" s="335"/>
      <c r="N3" s="366"/>
      <c r="O3" s="83"/>
      <c r="P3" s="123"/>
      <c r="Q3" s="83"/>
      <c r="R3" s="83"/>
      <c r="S3" s="83"/>
      <c r="T3" s="20"/>
      <c r="U3" s="113"/>
      <c r="V3" s="8"/>
      <c r="W3" s="8"/>
      <c r="X3" s="8"/>
      <c r="Y3" s="119"/>
      <c r="Z3" s="8"/>
      <c r="AA3" s="8"/>
      <c r="AB3" s="8"/>
    </row>
    <row r="4" spans="1:28" s="1" customFormat="1" ht="11.25" customHeight="1">
      <c r="A4" s="333"/>
      <c r="B4" s="333"/>
      <c r="C4" s="333"/>
      <c r="D4" s="333"/>
      <c r="E4" s="333"/>
      <c r="F4" s="334"/>
      <c r="G4" s="334"/>
      <c r="H4" s="335"/>
      <c r="I4" s="333"/>
      <c r="J4" s="385"/>
      <c r="K4" s="385"/>
      <c r="L4" s="334"/>
      <c r="M4" s="335"/>
      <c r="N4" s="366"/>
      <c r="O4" s="83"/>
      <c r="P4" s="123"/>
      <c r="Q4" s="83"/>
      <c r="R4" s="83"/>
      <c r="S4" s="83"/>
      <c r="T4" s="20"/>
      <c r="U4" s="113"/>
      <c r="V4" s="8"/>
      <c r="W4" s="8"/>
      <c r="X4" s="8"/>
      <c r="Y4" s="119"/>
      <c r="Z4" s="8"/>
      <c r="AA4" s="8"/>
      <c r="AB4" s="8"/>
    </row>
    <row r="5" spans="1:28" s="1" customFormat="1" ht="14.25" customHeight="1" thickBot="1">
      <c r="A5" s="339" t="s">
        <v>262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67"/>
      <c r="O5" s="83"/>
      <c r="P5" s="123"/>
      <c r="Q5" s="83"/>
      <c r="R5" s="83"/>
      <c r="S5" s="83"/>
      <c r="T5" s="20"/>
      <c r="U5" s="113"/>
      <c r="V5" s="8"/>
      <c r="W5" s="8"/>
      <c r="X5" s="8"/>
      <c r="Y5" s="119"/>
      <c r="Z5" s="8"/>
      <c r="AA5" s="8"/>
      <c r="AB5" s="8"/>
    </row>
    <row r="6" spans="1:28" s="1" customFormat="1" ht="11.25" customHeight="1">
      <c r="A6" s="210"/>
      <c r="B6" s="210"/>
      <c r="C6" s="210"/>
      <c r="D6" s="210"/>
      <c r="E6" s="210"/>
      <c r="F6" s="543" t="s">
        <v>5</v>
      </c>
      <c r="G6" s="543"/>
      <c r="H6" s="543"/>
      <c r="I6" s="210"/>
      <c r="J6" s="543" t="s">
        <v>20</v>
      </c>
      <c r="K6" s="543"/>
      <c r="L6" s="543"/>
      <c r="M6" s="377"/>
      <c r="N6" s="368"/>
      <c r="O6" s="83"/>
      <c r="P6" s="123"/>
      <c r="Q6" s="83"/>
      <c r="R6" s="83"/>
      <c r="S6" s="83"/>
      <c r="T6" s="20"/>
      <c r="U6" s="113"/>
      <c r="V6" s="8"/>
      <c r="W6" s="8"/>
      <c r="X6" s="8"/>
      <c r="Y6" s="119"/>
      <c r="Z6" s="8"/>
      <c r="AA6" s="8"/>
      <c r="AB6" s="8"/>
    </row>
    <row r="7" spans="1:28" s="1" customFormat="1" ht="11.25" customHeight="1">
      <c r="A7" s="210"/>
      <c r="B7" s="210"/>
      <c r="C7" s="210"/>
      <c r="D7" s="210"/>
      <c r="E7" s="210"/>
      <c r="F7" s="541" t="s">
        <v>1</v>
      </c>
      <c r="G7" s="541"/>
      <c r="H7" s="541"/>
      <c r="I7" s="210"/>
      <c r="J7" s="541" t="s">
        <v>1</v>
      </c>
      <c r="K7" s="541"/>
      <c r="L7" s="541"/>
      <c r="M7" s="376"/>
      <c r="N7" s="368"/>
      <c r="O7" s="83"/>
      <c r="P7" s="123"/>
      <c r="Q7" s="83"/>
      <c r="R7" s="83"/>
      <c r="S7" s="83"/>
      <c r="T7" s="20"/>
      <c r="U7" s="113"/>
      <c r="V7" s="8"/>
      <c r="W7" s="8"/>
      <c r="X7" s="8"/>
      <c r="Y7" s="119"/>
      <c r="Z7" s="8"/>
      <c r="AA7" s="8"/>
      <c r="AB7" s="8"/>
    </row>
    <row r="8" spans="1:28" s="1" customFormat="1" ht="11.25" customHeight="1">
      <c r="A8" s="212" t="s">
        <v>178</v>
      </c>
      <c r="B8" s="213"/>
      <c r="C8" s="213"/>
      <c r="D8" s="213"/>
      <c r="E8" s="210"/>
      <c r="F8" s="277">
        <v>2016</v>
      </c>
      <c r="G8" s="214"/>
      <c r="H8" s="215">
        <v>2015</v>
      </c>
      <c r="I8" s="210"/>
      <c r="J8" s="386">
        <v>2016</v>
      </c>
      <c r="K8" s="210"/>
      <c r="L8" s="215">
        <v>2015</v>
      </c>
      <c r="M8" s="214"/>
      <c r="N8" s="369"/>
      <c r="O8" s="83"/>
      <c r="P8" s="123"/>
      <c r="Q8" s="83"/>
      <c r="R8" s="83"/>
      <c r="S8" s="83"/>
      <c r="T8" s="20"/>
      <c r="U8" s="113"/>
      <c r="V8" s="8"/>
      <c r="W8" s="8"/>
      <c r="X8" s="8"/>
      <c r="Y8" s="119"/>
      <c r="Z8" s="8"/>
      <c r="AA8" s="8"/>
      <c r="AB8" s="8"/>
    </row>
    <row r="9" spans="1:28" s="1" customFormat="1" ht="11.25" customHeight="1">
      <c r="A9" s="211" t="s">
        <v>0</v>
      </c>
      <c r="B9" s="132" t="s">
        <v>179</v>
      </c>
      <c r="C9" s="132"/>
      <c r="D9" s="132"/>
      <c r="E9" s="210"/>
      <c r="F9" s="217">
        <f>F36</f>
        <v>154.148</v>
      </c>
      <c r="G9" s="158"/>
      <c r="H9" s="217">
        <v>229.3</v>
      </c>
      <c r="I9" s="210"/>
      <c r="J9" s="387">
        <f>610.2+F9</f>
        <v>764.34800000000007</v>
      </c>
      <c r="K9" s="210"/>
      <c r="L9" s="217">
        <v>961.9</v>
      </c>
      <c r="M9" s="158"/>
      <c r="N9" s="370"/>
      <c r="O9" s="83"/>
      <c r="P9" s="123"/>
      <c r="Q9" s="83"/>
      <c r="R9" s="83"/>
      <c r="S9" s="83"/>
      <c r="T9" s="20"/>
      <c r="U9" s="113"/>
      <c r="V9" s="8"/>
      <c r="W9" s="8"/>
      <c r="X9" s="8"/>
      <c r="Y9" s="119"/>
      <c r="Z9" s="8"/>
      <c r="AA9" s="8"/>
      <c r="AB9" s="8"/>
    </row>
    <row r="10" spans="1:28" s="1" customFormat="1" ht="11.25" customHeight="1">
      <c r="A10" s="211"/>
      <c r="B10" s="344" t="s">
        <v>218</v>
      </c>
      <c r="C10" s="131"/>
      <c r="D10" s="131"/>
      <c r="E10" s="210"/>
      <c r="F10" s="346">
        <f>'IS &amp; OCI'!F7+SUM('IS &amp; OCI'!F9:F11)</f>
        <v>53.10599999999998</v>
      </c>
      <c r="G10" s="216"/>
      <c r="H10" s="217">
        <v>116.5</v>
      </c>
      <c r="I10" s="210"/>
      <c r="J10" s="346">
        <f>'IS &amp; OCI'!J7+SUM('IS &amp; OCI'!J9:J11)</f>
        <v>313.30600000000004</v>
      </c>
      <c r="K10" s="210"/>
      <c r="L10" s="217">
        <v>484.4</v>
      </c>
      <c r="M10" s="216"/>
      <c r="N10" s="346"/>
      <c r="O10" s="83"/>
      <c r="P10" s="123"/>
      <c r="Q10" s="83"/>
      <c r="R10" s="83"/>
      <c r="S10" s="83"/>
      <c r="T10" s="20"/>
      <c r="U10" s="113"/>
      <c r="V10" s="8"/>
      <c r="W10" s="8"/>
      <c r="X10" s="8"/>
      <c r="Y10" s="119"/>
      <c r="Z10" s="8"/>
      <c r="AA10" s="8"/>
      <c r="AB10" s="8"/>
    </row>
    <row r="11" spans="1:28" s="1" customFormat="1" ht="11.25" customHeight="1">
      <c r="A11" s="211"/>
      <c r="B11" s="132" t="s">
        <v>250</v>
      </c>
      <c r="C11" s="132"/>
      <c r="D11" s="132"/>
      <c r="E11" s="210"/>
      <c r="F11" s="346">
        <f>'IS &amp; OCI'!F17-'IS &amp; OCI'!F14-F72-'IS &amp; OCI'!F15</f>
        <v>-65.527000000000044</v>
      </c>
      <c r="G11" s="355"/>
      <c r="H11" s="346">
        <f>'IS &amp; OCI'!H17-'IS &amp; OCI'!H14-H72-'IS &amp; OCI'!H15</f>
        <v>-22.900000000000112</v>
      </c>
      <c r="I11" s="342"/>
      <c r="J11" s="346">
        <f>'IS &amp; OCI'!J17-'IS &amp; OCI'!J14-J72-'IS &amp; OCI'!J15</f>
        <v>-137.52700000000002</v>
      </c>
      <c r="K11" s="342"/>
      <c r="L11" s="346">
        <f>'IS &amp; OCI'!L17-'IS &amp; OCI'!L14-L72-'IS &amp; OCI'!L15</f>
        <v>15.799999999999841</v>
      </c>
      <c r="M11" s="355"/>
      <c r="N11" s="371"/>
      <c r="O11" s="83"/>
      <c r="P11" s="123"/>
      <c r="Q11" s="83"/>
      <c r="R11" s="83"/>
      <c r="S11" s="83"/>
      <c r="T11" s="20"/>
      <c r="U11" s="113"/>
      <c r="V11" s="8"/>
      <c r="W11" s="8"/>
      <c r="X11" s="8"/>
      <c r="Y11" s="119"/>
      <c r="Z11" s="8"/>
      <c r="AA11" s="8"/>
      <c r="AB11" s="8"/>
    </row>
    <row r="12" spans="1:28" s="1" customFormat="1" ht="11.25" customHeight="1">
      <c r="A12" s="210"/>
      <c r="B12" s="131" t="s">
        <v>180</v>
      </c>
      <c r="C12" s="131"/>
      <c r="D12" s="131"/>
      <c r="E12" s="210"/>
      <c r="F12" s="346">
        <f>'IS &amp; OCI'!F17</f>
        <v>-92.426000000000045</v>
      </c>
      <c r="G12" s="218"/>
      <c r="H12" s="217">
        <v>-332.9</v>
      </c>
      <c r="I12" s="210"/>
      <c r="J12" s="387">
        <f>-87.8+F12-0.1</f>
        <v>-180.32600000000005</v>
      </c>
      <c r="K12" s="210"/>
      <c r="L12" s="217">
        <v>-430.4</v>
      </c>
      <c r="M12" s="218"/>
      <c r="N12" s="371"/>
      <c r="O12" s="83"/>
      <c r="P12" s="123"/>
      <c r="Q12" s="83"/>
      <c r="R12" s="83"/>
      <c r="S12" s="83"/>
      <c r="T12" s="20"/>
      <c r="U12" s="113"/>
      <c r="V12" s="8"/>
      <c r="W12" s="8"/>
      <c r="X12" s="8"/>
      <c r="Y12" s="119"/>
      <c r="Z12" s="8"/>
      <c r="AA12" s="8"/>
      <c r="AB12" s="8"/>
    </row>
    <row r="13" spans="1:28" s="1" customFormat="1" ht="11.25" customHeight="1">
      <c r="A13" s="375"/>
      <c r="B13" s="131" t="s">
        <v>205</v>
      </c>
      <c r="C13" s="131"/>
      <c r="D13" s="131"/>
      <c r="E13" s="210"/>
      <c r="F13" s="346">
        <f>'IS &amp; OCI'!F21</f>
        <v>-118.71200000000005</v>
      </c>
      <c r="G13" s="218"/>
      <c r="H13" s="217">
        <v>-357.1</v>
      </c>
      <c r="I13" s="210"/>
      <c r="J13" s="387">
        <f>-143.9+F13-0.2</f>
        <v>-262.81200000000007</v>
      </c>
      <c r="K13" s="210"/>
      <c r="L13" s="217">
        <v>-505.5</v>
      </c>
      <c r="M13" s="218"/>
      <c r="N13" s="371"/>
      <c r="O13" s="83"/>
      <c r="P13" s="123"/>
      <c r="Q13" s="83"/>
      <c r="R13" s="83"/>
      <c r="S13" s="83"/>
      <c r="T13" s="20"/>
      <c r="U13" s="113"/>
      <c r="V13" s="8"/>
      <c r="W13" s="8"/>
      <c r="X13" s="8"/>
      <c r="Y13" s="119"/>
      <c r="Z13" s="8"/>
      <c r="AA13" s="8"/>
      <c r="AB13" s="8"/>
    </row>
    <row r="14" spans="1:28" s="1" customFormat="1" ht="11.25" customHeight="1">
      <c r="A14" s="210"/>
      <c r="B14" s="131" t="s">
        <v>207</v>
      </c>
      <c r="C14" s="131"/>
      <c r="D14" s="131"/>
      <c r="E14" s="210"/>
      <c r="F14" s="346">
        <f>'IS &amp; OCI'!F23</f>
        <v>-156.10370000000003</v>
      </c>
      <c r="G14" s="218"/>
      <c r="H14" s="217">
        <v>-334.6</v>
      </c>
      <c r="I14" s="210"/>
      <c r="J14" s="387">
        <f>-137.7+F14-0.1</f>
        <v>-293.90370000000007</v>
      </c>
      <c r="K14" s="210"/>
      <c r="L14" s="217">
        <v>-527.9</v>
      </c>
      <c r="M14" s="218"/>
      <c r="N14" s="371"/>
      <c r="O14" s="83"/>
      <c r="P14" s="123"/>
      <c r="Q14" s="83"/>
      <c r="R14" s="83"/>
      <c r="S14" s="83"/>
      <c r="T14" s="20"/>
      <c r="U14" s="113"/>
      <c r="V14" s="8"/>
      <c r="W14" s="8"/>
      <c r="X14" s="8"/>
      <c r="Y14" s="119"/>
      <c r="Z14" s="8"/>
      <c r="AA14" s="8"/>
      <c r="AB14" s="8"/>
    </row>
    <row r="15" spans="1:28" s="1" customFormat="1" ht="11.25" customHeight="1">
      <c r="A15" s="210"/>
      <c r="B15" s="131" t="s">
        <v>181</v>
      </c>
      <c r="C15" s="131"/>
      <c r="D15" s="131"/>
      <c r="E15" s="210"/>
      <c r="F15" s="353">
        <f>F242</f>
        <v>-0.61</v>
      </c>
      <c r="G15" s="338"/>
      <c r="H15" s="378">
        <v>-1.48</v>
      </c>
      <c r="I15" s="210"/>
      <c r="J15" s="391">
        <f>-0.58+F15-0.02</f>
        <v>-1.21</v>
      </c>
      <c r="K15" s="210"/>
      <c r="L15" s="378">
        <v>-2.4300000000000002</v>
      </c>
      <c r="M15" s="338"/>
      <c r="N15" s="372"/>
      <c r="O15" s="83"/>
      <c r="P15" s="123"/>
      <c r="Q15" s="83"/>
      <c r="R15" s="83"/>
      <c r="S15" s="83"/>
      <c r="T15" s="20"/>
      <c r="U15" s="113"/>
      <c r="V15" s="8"/>
      <c r="W15" s="8"/>
      <c r="X15" s="8"/>
      <c r="Y15" s="119"/>
      <c r="Z15" s="8"/>
      <c r="AA15" s="8"/>
      <c r="AB15" s="8"/>
    </row>
    <row r="16" spans="1:28" s="1" customFormat="1" ht="11.25" customHeight="1">
      <c r="A16" s="210"/>
      <c r="B16" s="131" t="s">
        <v>168</v>
      </c>
      <c r="C16" s="131"/>
      <c r="D16" s="131"/>
      <c r="E16" s="210"/>
      <c r="F16" s="346">
        <f>CF!E19</f>
        <v>64.704299999999975</v>
      </c>
      <c r="G16" s="218"/>
      <c r="H16" s="217">
        <v>121</v>
      </c>
      <c r="I16" s="210"/>
      <c r="J16" s="387">
        <f>256.2+F16</f>
        <v>320.90429999999998</v>
      </c>
      <c r="K16" s="210"/>
      <c r="L16" s="217">
        <v>487.9</v>
      </c>
      <c r="M16" s="218"/>
      <c r="N16" s="371"/>
      <c r="O16" s="83"/>
      <c r="P16" s="123"/>
      <c r="Q16" s="83"/>
      <c r="R16" s="83"/>
      <c r="S16" s="83"/>
      <c r="T16" s="20"/>
      <c r="U16" s="113"/>
      <c r="V16" s="8"/>
      <c r="W16" s="8"/>
      <c r="X16" s="8"/>
      <c r="Y16" s="119"/>
      <c r="Z16" s="8"/>
      <c r="AA16" s="8"/>
      <c r="AB16" s="8"/>
    </row>
    <row r="17" spans="1:28" s="1" customFormat="1" ht="11.25" customHeight="1">
      <c r="A17" s="210"/>
      <c r="B17" s="131" t="s">
        <v>182</v>
      </c>
      <c r="C17" s="131"/>
      <c r="D17" s="131"/>
      <c r="E17" s="210"/>
      <c r="F17" s="217">
        <f>-CF!E20</f>
        <v>47.8</v>
      </c>
      <c r="G17" s="218"/>
      <c r="H17" s="217">
        <v>70.2</v>
      </c>
      <c r="I17" s="210"/>
      <c r="J17" s="388">
        <f>153.1+F17+0.1</f>
        <v>200.99999999999997</v>
      </c>
      <c r="K17" s="210"/>
      <c r="L17" s="217">
        <v>303.3</v>
      </c>
      <c r="M17" s="218"/>
      <c r="N17" s="371"/>
      <c r="O17" s="83"/>
      <c r="P17" s="123"/>
      <c r="Q17" s="83"/>
      <c r="R17" s="83"/>
      <c r="S17" s="83"/>
      <c r="T17" s="20"/>
      <c r="U17" s="113"/>
      <c r="V17" s="8"/>
      <c r="W17" s="8"/>
      <c r="X17" s="8"/>
      <c r="Y17" s="119"/>
      <c r="Z17" s="8"/>
      <c r="AA17" s="8"/>
      <c r="AB17" s="8"/>
    </row>
    <row r="18" spans="1:28" s="1" customFormat="1" ht="11.25" customHeight="1">
      <c r="A18" s="210"/>
      <c r="B18" s="131" t="s">
        <v>183</v>
      </c>
      <c r="C18" s="131"/>
      <c r="D18" s="131"/>
      <c r="E18" s="210"/>
      <c r="F18" s="346">
        <f>F158</f>
        <v>28.689</v>
      </c>
      <c r="G18" s="355"/>
      <c r="H18" s="217">
        <v>41.7</v>
      </c>
      <c r="I18" s="342"/>
      <c r="J18" s="388">
        <f>179.9+F18</f>
        <v>208.589</v>
      </c>
      <c r="K18" s="342"/>
      <c r="L18" s="217">
        <v>165.7</v>
      </c>
      <c r="M18" s="218"/>
      <c r="N18" s="371"/>
      <c r="O18" s="83"/>
      <c r="P18" s="123"/>
      <c r="Q18" s="83"/>
      <c r="R18" s="83"/>
      <c r="S18" s="83"/>
      <c r="T18" s="20"/>
      <c r="U18" s="113"/>
      <c r="V18" s="8"/>
      <c r="W18" s="8"/>
      <c r="X18" s="8"/>
      <c r="Y18" s="119"/>
      <c r="Z18" s="8"/>
      <c r="AA18" s="8"/>
      <c r="AB18" s="8"/>
    </row>
    <row r="19" spans="1:28" s="1" customFormat="1" ht="11.25" customHeight="1">
      <c r="A19" s="210"/>
      <c r="B19" s="131" t="s">
        <v>184</v>
      </c>
      <c r="C19" s="131"/>
      <c r="D19" s="131"/>
      <c r="E19" s="210"/>
      <c r="F19" s="217">
        <f>BS!G20</f>
        <v>2816.9910000000004</v>
      </c>
      <c r="G19" s="218"/>
      <c r="H19" s="217">
        <v>2914.1</v>
      </c>
      <c r="I19" s="210"/>
      <c r="J19" s="387">
        <f>F19</f>
        <v>2816.9910000000004</v>
      </c>
      <c r="K19" s="210"/>
      <c r="L19" s="217">
        <v>2914.1</v>
      </c>
      <c r="M19" s="218"/>
      <c r="N19" s="371"/>
      <c r="O19" s="83"/>
      <c r="P19" s="123"/>
      <c r="Q19" s="83"/>
      <c r="R19" s="83"/>
      <c r="S19" s="83"/>
      <c r="T19" s="20"/>
      <c r="U19" s="113"/>
      <c r="V19" s="8"/>
      <c r="W19" s="8"/>
      <c r="X19" s="8"/>
      <c r="Y19" s="119"/>
      <c r="Z19" s="8"/>
      <c r="AA19" s="8"/>
      <c r="AB19" s="8"/>
    </row>
    <row r="20" spans="1:28" s="1" customFormat="1" ht="11.25" customHeight="1">
      <c r="A20" s="210"/>
      <c r="B20" s="131" t="s">
        <v>2</v>
      </c>
      <c r="C20" s="131"/>
      <c r="D20" s="131"/>
      <c r="E20" s="210"/>
      <c r="F20" s="217">
        <f>BS!G7</f>
        <v>61.726999999999997</v>
      </c>
      <c r="G20" s="218"/>
      <c r="H20" s="217">
        <v>81.599999999999994</v>
      </c>
      <c r="I20" s="210"/>
      <c r="J20" s="387">
        <f>F20</f>
        <v>61.726999999999997</v>
      </c>
      <c r="K20" s="210"/>
      <c r="L20" s="217">
        <v>81.599999999999994</v>
      </c>
      <c r="M20" s="218"/>
      <c r="N20" s="371"/>
      <c r="O20" s="83"/>
      <c r="P20" s="123"/>
      <c r="Q20" s="83"/>
      <c r="R20" s="83"/>
      <c r="S20" s="83"/>
      <c r="T20" s="20"/>
      <c r="U20" s="113"/>
      <c r="V20" s="8"/>
      <c r="W20" s="8"/>
      <c r="X20" s="8"/>
      <c r="Y20" s="119"/>
      <c r="Z20" s="8"/>
      <c r="AA20" s="8"/>
      <c r="AB20" s="8"/>
    </row>
    <row r="21" spans="1:28" s="1" customFormat="1" ht="11.25" customHeight="1">
      <c r="A21" s="213"/>
      <c r="B21" s="133" t="s">
        <v>185</v>
      </c>
      <c r="C21" s="133"/>
      <c r="D21" s="133"/>
      <c r="E21" s="213"/>
      <c r="F21" s="358">
        <f>-F233</f>
        <v>1029.723</v>
      </c>
      <c r="G21" s="340"/>
      <c r="H21" s="219">
        <v>994.2</v>
      </c>
      <c r="I21" s="213"/>
      <c r="J21" s="392">
        <f>F21</f>
        <v>1029.723</v>
      </c>
      <c r="K21" s="213"/>
      <c r="L21" s="219">
        <v>994.2</v>
      </c>
      <c r="M21" s="340"/>
      <c r="N21" s="358"/>
      <c r="O21" s="83"/>
      <c r="P21" s="123"/>
      <c r="Q21" s="83"/>
      <c r="R21" s="83"/>
      <c r="S21" s="83"/>
      <c r="T21" s="20"/>
      <c r="U21" s="113"/>
      <c r="V21" s="8"/>
      <c r="W21" s="8"/>
      <c r="X21" s="8"/>
      <c r="Y21" s="119"/>
      <c r="Z21" s="8"/>
      <c r="AA21" s="8"/>
      <c r="AB21" s="8"/>
    </row>
    <row r="22" spans="1:28" s="7" customFormat="1" ht="11.25" customHeight="1">
      <c r="A22" s="402"/>
      <c r="B22" s="402"/>
      <c r="C22" s="402"/>
      <c r="D22" s="402"/>
      <c r="E22" s="402"/>
      <c r="F22" s="335"/>
      <c r="G22" s="335"/>
      <c r="H22" s="335"/>
      <c r="I22" s="402"/>
      <c r="J22" s="402"/>
      <c r="K22" s="402"/>
      <c r="L22" s="335"/>
      <c r="M22" s="335"/>
      <c r="N22" s="335"/>
      <c r="O22" s="83"/>
      <c r="P22" s="424"/>
      <c r="Q22" s="83"/>
      <c r="R22" s="83"/>
      <c r="S22" s="83"/>
      <c r="T22" s="20"/>
      <c r="U22" s="113"/>
      <c r="V22" s="336"/>
      <c r="W22" s="336"/>
      <c r="X22" s="336"/>
      <c r="Y22" s="337"/>
      <c r="Z22" s="336"/>
      <c r="AA22" s="336"/>
      <c r="AB22" s="336"/>
    </row>
    <row r="23" spans="1:28" s="41" customFormat="1" ht="12.75" customHeight="1">
      <c r="A23" s="403"/>
      <c r="B23" s="404"/>
      <c r="C23" s="404"/>
      <c r="D23" s="404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425"/>
      <c r="P23" s="426"/>
      <c r="Q23" s="427"/>
      <c r="R23" s="427"/>
      <c r="S23" s="80"/>
      <c r="T23" s="80"/>
      <c r="U23" s="79"/>
    </row>
    <row r="24" spans="1:28" s="41" customFormat="1" ht="15" customHeight="1">
      <c r="A24" s="405" t="s">
        <v>176</v>
      </c>
      <c r="B24" s="404"/>
      <c r="C24" s="404"/>
      <c r="D24" s="404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425"/>
      <c r="P24" s="426"/>
      <c r="Q24" s="427"/>
      <c r="R24" s="427"/>
      <c r="S24" s="80"/>
      <c r="T24" s="80"/>
      <c r="U24" s="79"/>
    </row>
    <row r="25" spans="1:28" s="41" customFormat="1" ht="18" customHeight="1">
      <c r="A25" s="132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425"/>
      <c r="P25" s="426"/>
      <c r="Q25" s="427"/>
      <c r="R25" s="427"/>
      <c r="S25" s="80"/>
      <c r="T25" s="80"/>
      <c r="U25" s="79"/>
    </row>
    <row r="26" spans="1:28" s="59" customFormat="1" ht="11.45" customHeight="1" thickBot="1">
      <c r="A26" s="209" t="s">
        <v>129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131"/>
      <c r="P26" s="428"/>
      <c r="Q26" s="49"/>
    </row>
    <row r="27" spans="1:28" s="76" customFormat="1" ht="11.45" customHeight="1">
      <c r="A27" s="210"/>
      <c r="B27" s="210"/>
      <c r="C27" s="210"/>
      <c r="D27" s="210"/>
      <c r="E27" s="210"/>
      <c r="F27" s="540" t="s">
        <v>5</v>
      </c>
      <c r="G27" s="540"/>
      <c r="H27" s="540"/>
      <c r="I27" s="210"/>
      <c r="J27" s="540" t="s">
        <v>20</v>
      </c>
      <c r="K27" s="540"/>
      <c r="L27" s="540"/>
      <c r="M27" s="498"/>
      <c r="N27" s="406"/>
      <c r="O27" s="413"/>
      <c r="P27" s="210"/>
    </row>
    <row r="28" spans="1:28" s="76" customFormat="1" ht="11.45" customHeight="1">
      <c r="A28" s="210"/>
      <c r="B28" s="210"/>
      <c r="C28" s="210"/>
      <c r="D28" s="210"/>
      <c r="E28" s="210"/>
      <c r="F28" s="541" t="s">
        <v>1</v>
      </c>
      <c r="G28" s="541"/>
      <c r="H28" s="541"/>
      <c r="I28" s="210"/>
      <c r="J28" s="541" t="s">
        <v>1</v>
      </c>
      <c r="K28" s="541"/>
      <c r="L28" s="541"/>
      <c r="M28" s="467"/>
      <c r="N28" s="406"/>
      <c r="O28" s="413"/>
      <c r="P28" s="210"/>
    </row>
    <row r="29" spans="1:28" s="76" customFormat="1" ht="11.45" customHeight="1">
      <c r="A29" s="212" t="s">
        <v>103</v>
      </c>
      <c r="B29" s="213"/>
      <c r="C29" s="213"/>
      <c r="D29" s="213"/>
      <c r="E29" s="210"/>
      <c r="F29" s="277">
        <v>2016</v>
      </c>
      <c r="G29" s="214"/>
      <c r="H29" s="215">
        <v>2015</v>
      </c>
      <c r="I29" s="210"/>
      <c r="J29" s="386">
        <v>2016</v>
      </c>
      <c r="K29" s="210"/>
      <c r="L29" s="215">
        <v>2015</v>
      </c>
      <c r="M29" s="214"/>
      <c r="N29" s="418"/>
      <c r="O29" s="210"/>
      <c r="P29" s="211"/>
    </row>
    <row r="30" spans="1:28" s="76" customFormat="1" ht="11.45" customHeight="1">
      <c r="A30" s="211" t="s">
        <v>0</v>
      </c>
      <c r="B30" s="132" t="s">
        <v>77</v>
      </c>
      <c r="C30" s="132"/>
      <c r="D30" s="132"/>
      <c r="E30" s="210"/>
      <c r="F30" s="158" t="s">
        <v>0</v>
      </c>
      <c r="G30" s="158"/>
      <c r="H30" s="158" t="s">
        <v>0</v>
      </c>
      <c r="I30" s="210"/>
      <c r="J30" s="210"/>
      <c r="K30" s="210"/>
      <c r="L30" s="158" t="s">
        <v>0</v>
      </c>
      <c r="M30" s="158"/>
      <c r="N30" s="158"/>
      <c r="O30" s="210"/>
      <c r="P30" s="211"/>
    </row>
    <row r="31" spans="1:28" s="76" customFormat="1" ht="11.45" customHeight="1">
      <c r="A31" s="211"/>
      <c r="B31" s="131" t="s">
        <v>76</v>
      </c>
      <c r="C31" s="131"/>
      <c r="D31" s="131"/>
      <c r="E31" s="210"/>
      <c r="F31" s="217">
        <v>29.283000000000001</v>
      </c>
      <c r="G31" s="216"/>
      <c r="H31" s="217">
        <v>43.5</v>
      </c>
      <c r="I31" s="210"/>
      <c r="J31" s="387">
        <f>183.3+F31</f>
        <v>212.58300000000003</v>
      </c>
      <c r="K31" s="131"/>
      <c r="L31" s="217">
        <v>274</v>
      </c>
      <c r="M31" s="216"/>
      <c r="N31" s="217"/>
      <c r="O31" s="210"/>
      <c r="P31" s="211"/>
      <c r="Q31" s="101"/>
      <c r="R31" s="429"/>
      <c r="S31" s="77"/>
      <c r="T31" s="72"/>
    </row>
    <row r="32" spans="1:28" s="76" customFormat="1" ht="11.45" customHeight="1">
      <c r="A32" s="211"/>
      <c r="B32" s="132" t="s">
        <v>75</v>
      </c>
      <c r="C32" s="132"/>
      <c r="D32" s="132"/>
      <c r="E32" s="210"/>
      <c r="F32" s="217">
        <v>50.936</v>
      </c>
      <c r="G32" s="218"/>
      <c r="H32" s="468">
        <v>98</v>
      </c>
      <c r="I32" s="210"/>
      <c r="J32" s="387">
        <f>191.4+F32</f>
        <v>242.33600000000001</v>
      </c>
      <c r="K32" s="131"/>
      <c r="L32" s="468">
        <v>380.4</v>
      </c>
      <c r="M32" s="218"/>
      <c r="N32" s="468"/>
      <c r="O32" s="210"/>
      <c r="P32" s="211"/>
      <c r="Q32" s="101"/>
      <c r="R32" s="429"/>
      <c r="S32" s="77"/>
      <c r="T32" s="72"/>
    </row>
    <row r="33" spans="1:24" s="76" customFormat="1" ht="11.45" customHeight="1">
      <c r="A33" s="210"/>
      <c r="B33" s="131" t="s">
        <v>74</v>
      </c>
      <c r="C33" s="131"/>
      <c r="D33" s="131"/>
      <c r="E33" s="210"/>
      <c r="F33" s="468">
        <v>52.433</v>
      </c>
      <c r="G33" s="218"/>
      <c r="H33" s="468">
        <v>67.5</v>
      </c>
      <c r="I33" s="210"/>
      <c r="J33" s="388">
        <f>174.4+F33</f>
        <v>226.833</v>
      </c>
      <c r="K33" s="131"/>
      <c r="L33" s="468">
        <v>194.3</v>
      </c>
      <c r="M33" s="218"/>
      <c r="N33" s="468"/>
      <c r="O33" s="210"/>
      <c r="P33" s="211"/>
      <c r="Q33" s="101"/>
      <c r="R33" s="429"/>
      <c r="S33" s="77"/>
      <c r="T33" s="72"/>
    </row>
    <row r="34" spans="1:24" s="76" customFormat="1" ht="11.45" customHeight="1">
      <c r="A34" s="210"/>
      <c r="B34" s="131" t="s">
        <v>121</v>
      </c>
      <c r="C34" s="131"/>
      <c r="D34" s="131"/>
      <c r="E34" s="210"/>
      <c r="F34" s="468">
        <f>16.837+2.722</f>
        <v>19.559000000000001</v>
      </c>
      <c r="G34" s="218"/>
      <c r="H34" s="468">
        <v>18.2</v>
      </c>
      <c r="I34" s="210"/>
      <c r="J34" s="388">
        <f>50.4+F34</f>
        <v>69.959000000000003</v>
      </c>
      <c r="K34" s="131"/>
      <c r="L34" s="468">
        <v>93.7</v>
      </c>
      <c r="M34" s="218"/>
      <c r="N34" s="468"/>
      <c r="O34" s="210"/>
      <c r="P34" s="211"/>
      <c r="Q34" s="101"/>
      <c r="R34" s="429"/>
      <c r="S34" s="77"/>
      <c r="T34" s="72"/>
    </row>
    <row r="35" spans="1:24" s="76" customFormat="1" ht="11.45" customHeight="1">
      <c r="A35" s="213"/>
      <c r="B35" s="133" t="s">
        <v>73</v>
      </c>
      <c r="C35" s="133"/>
      <c r="D35" s="133"/>
      <c r="E35" s="210"/>
      <c r="F35" s="219">
        <v>1.9370000000000001</v>
      </c>
      <c r="G35" s="218"/>
      <c r="H35" s="219">
        <v>2.2000000000000002</v>
      </c>
      <c r="I35" s="210"/>
      <c r="J35" s="407">
        <f>10.7+F35</f>
        <v>12.636999999999999</v>
      </c>
      <c r="K35" s="131"/>
      <c r="L35" s="219">
        <v>19.600000000000001</v>
      </c>
      <c r="M35" s="218"/>
      <c r="N35" s="468"/>
      <c r="O35" s="210"/>
      <c r="P35" s="211"/>
      <c r="Q35" s="101"/>
      <c r="R35" s="429"/>
      <c r="S35" s="77"/>
    </row>
    <row r="36" spans="1:24" s="288" customFormat="1" ht="11.45" customHeight="1">
      <c r="A36" s="469"/>
      <c r="B36" s="408" t="s">
        <v>169</v>
      </c>
      <c r="C36" s="408"/>
      <c r="D36" s="408"/>
      <c r="E36" s="409"/>
      <c r="F36" s="470">
        <f>SUM(F31:F35)</f>
        <v>154.148</v>
      </c>
      <c r="G36" s="471"/>
      <c r="H36" s="470">
        <f>SUM(H31:H35)-0.1</f>
        <v>229.29999999999998</v>
      </c>
      <c r="I36" s="409"/>
      <c r="J36" s="470">
        <f>SUM(J31:J35)</f>
        <v>764.34799999999996</v>
      </c>
      <c r="K36" s="130"/>
      <c r="L36" s="470">
        <f>SUM(L31:L35)-0.1</f>
        <v>961.90000000000009</v>
      </c>
      <c r="M36" s="471"/>
      <c r="N36" s="499"/>
      <c r="O36" s="409"/>
      <c r="P36" s="409"/>
      <c r="Q36" s="430"/>
      <c r="R36" s="431"/>
      <c r="S36" s="286"/>
      <c r="T36" s="287"/>
    </row>
    <row r="37" spans="1:24" s="76" customFormat="1" ht="11.45" customHeight="1">
      <c r="A37" s="210"/>
      <c r="B37" s="210"/>
      <c r="C37" s="210"/>
      <c r="D37" s="210"/>
      <c r="E37" s="210"/>
      <c r="F37" s="472"/>
      <c r="G37" s="473"/>
      <c r="H37" s="220"/>
      <c r="I37" s="210"/>
      <c r="J37" s="210"/>
      <c r="K37" s="210"/>
      <c r="L37" s="220"/>
      <c r="M37" s="473"/>
      <c r="N37" s="220"/>
      <c r="O37" s="220"/>
      <c r="P37" s="220"/>
      <c r="Q37" s="78"/>
      <c r="T37" s="72"/>
    </row>
    <row r="38" spans="1:24" s="76" customFormat="1" ht="11.45" customHeight="1" thickBot="1">
      <c r="A38" s="209" t="s">
        <v>192</v>
      </c>
      <c r="B38" s="209"/>
      <c r="C38" s="209"/>
      <c r="D38" s="209"/>
      <c r="E38" s="209"/>
      <c r="F38" s="474"/>
      <c r="G38" s="209"/>
      <c r="H38" s="209"/>
      <c r="I38" s="209"/>
      <c r="J38" s="209"/>
      <c r="K38" s="209"/>
      <c r="L38" s="209"/>
      <c r="M38" s="209"/>
      <c r="N38" s="209"/>
      <c r="O38" s="131"/>
      <c r="P38" s="428"/>
      <c r="Q38" s="49"/>
      <c r="T38" s="72"/>
    </row>
    <row r="39" spans="1:24" s="76" customFormat="1" ht="11.45" customHeight="1">
      <c r="A39" s="210"/>
      <c r="B39" s="210"/>
      <c r="C39" s="210"/>
      <c r="D39" s="210"/>
      <c r="E39" s="210"/>
      <c r="F39" s="540" t="s">
        <v>5</v>
      </c>
      <c r="G39" s="540"/>
      <c r="H39" s="540"/>
      <c r="I39" s="210"/>
      <c r="J39" s="540" t="s">
        <v>20</v>
      </c>
      <c r="K39" s="540"/>
      <c r="L39" s="540"/>
      <c r="M39" s="498"/>
      <c r="N39" s="406"/>
      <c r="O39" s="413"/>
      <c r="P39" s="210"/>
    </row>
    <row r="40" spans="1:24" s="76" customFormat="1" ht="11.45" customHeight="1">
      <c r="A40" s="210"/>
      <c r="B40" s="210"/>
      <c r="C40" s="210"/>
      <c r="D40" s="210"/>
      <c r="E40" s="210"/>
      <c r="F40" s="541" t="s">
        <v>1</v>
      </c>
      <c r="G40" s="541"/>
      <c r="H40" s="541"/>
      <c r="I40" s="210"/>
      <c r="J40" s="541" t="s">
        <v>1</v>
      </c>
      <c r="K40" s="541"/>
      <c r="L40" s="541"/>
      <c r="M40" s="467"/>
      <c r="N40" s="406"/>
      <c r="O40" s="413"/>
      <c r="P40" s="210"/>
    </row>
    <row r="41" spans="1:24" s="76" customFormat="1" ht="11.45" customHeight="1">
      <c r="A41" s="212" t="s">
        <v>0</v>
      </c>
      <c r="B41" s="213"/>
      <c r="C41" s="213"/>
      <c r="D41" s="213"/>
      <c r="E41" s="210"/>
      <c r="F41" s="277">
        <v>2016</v>
      </c>
      <c r="G41" s="214"/>
      <c r="H41" s="215">
        <v>2015</v>
      </c>
      <c r="I41" s="210"/>
      <c r="J41" s="386">
        <v>2016</v>
      </c>
      <c r="K41" s="210"/>
      <c r="L41" s="215">
        <v>2015</v>
      </c>
      <c r="M41" s="214"/>
      <c r="N41" s="418"/>
      <c r="O41" s="210"/>
      <c r="P41" s="211"/>
      <c r="T41" s="72"/>
    </row>
    <row r="42" spans="1:24" s="41" customFormat="1" ht="11.45" customHeight="1">
      <c r="A42" s="211" t="s">
        <v>0</v>
      </c>
      <c r="B42" s="132" t="s">
        <v>155</v>
      </c>
      <c r="C42" s="132"/>
      <c r="D42" s="132"/>
      <c r="E42" s="210"/>
      <c r="F42" s="475">
        <v>0.248</v>
      </c>
      <c r="G42" s="476"/>
      <c r="H42" s="477">
        <v>0.4</v>
      </c>
      <c r="I42" s="210"/>
      <c r="J42" s="475">
        <v>0.45</v>
      </c>
      <c r="K42" s="210"/>
      <c r="L42" s="477">
        <v>0.35</v>
      </c>
      <c r="M42" s="476"/>
      <c r="N42" s="477"/>
      <c r="O42" s="210"/>
      <c r="P42" s="211"/>
      <c r="Q42" s="76"/>
      <c r="R42" s="432"/>
      <c r="S42" s="61"/>
      <c r="T42" s="55"/>
      <c r="U42" s="55"/>
      <c r="V42" s="55"/>
      <c r="W42" s="40"/>
      <c r="X42" s="40"/>
    </row>
    <row r="43" spans="1:24" s="59" customFormat="1" ht="11.45" customHeight="1">
      <c r="A43" s="211"/>
      <c r="B43" s="131" t="s">
        <v>156</v>
      </c>
      <c r="C43" s="131"/>
      <c r="D43" s="131"/>
      <c r="E43" s="210"/>
      <c r="F43" s="475">
        <v>0.26700000000000002</v>
      </c>
      <c r="G43" s="478"/>
      <c r="H43" s="475">
        <v>0.33</v>
      </c>
      <c r="I43" s="210"/>
      <c r="J43" s="475">
        <v>0.28999999999999998</v>
      </c>
      <c r="K43" s="210"/>
      <c r="L43" s="475">
        <v>0.39</v>
      </c>
      <c r="M43" s="478"/>
      <c r="N43" s="475"/>
      <c r="O43" s="210"/>
      <c r="P43" s="211"/>
      <c r="Q43" s="101"/>
      <c r="R43" s="47"/>
      <c r="U43" s="47"/>
    </row>
    <row r="44" spans="1:24" s="59" customFormat="1" ht="11.45" customHeight="1">
      <c r="A44" s="211"/>
      <c r="B44" s="132" t="s">
        <v>157</v>
      </c>
      <c r="C44" s="132"/>
      <c r="D44" s="132"/>
      <c r="E44" s="210"/>
      <c r="F44" s="479">
        <v>0.154</v>
      </c>
      <c r="G44" s="480"/>
      <c r="H44" s="479">
        <v>0.09</v>
      </c>
      <c r="I44" s="210"/>
      <c r="J44" s="475">
        <v>0.14000000000000001</v>
      </c>
      <c r="K44" s="210"/>
      <c r="L44" s="479">
        <v>0.11</v>
      </c>
      <c r="M44" s="480"/>
      <c r="N44" s="479"/>
      <c r="O44" s="210"/>
      <c r="P44" s="211"/>
      <c r="Q44" s="101"/>
      <c r="R44" s="90"/>
      <c r="U44" s="47"/>
    </row>
    <row r="45" spans="1:24" s="59" customFormat="1" ht="11.45" customHeight="1">
      <c r="A45" s="210"/>
      <c r="B45" s="131" t="s">
        <v>158</v>
      </c>
      <c r="C45" s="131"/>
      <c r="D45" s="131"/>
      <c r="E45" s="210"/>
      <c r="F45" s="479">
        <v>3.7999999999999999E-2</v>
      </c>
      <c r="G45" s="480"/>
      <c r="H45" s="479">
        <v>0.08</v>
      </c>
      <c r="I45" s="210"/>
      <c r="J45" s="475">
        <v>0.02</v>
      </c>
      <c r="K45" s="210"/>
      <c r="L45" s="479">
        <v>0.03</v>
      </c>
      <c r="M45" s="480"/>
      <c r="N45" s="479"/>
      <c r="O45" s="210"/>
      <c r="P45" s="211"/>
      <c r="Q45" s="101"/>
      <c r="R45" s="90"/>
      <c r="U45" s="49"/>
    </row>
    <row r="46" spans="1:24" s="59" customFormat="1" ht="11.45" customHeight="1">
      <c r="A46" s="213"/>
      <c r="B46" s="133" t="s">
        <v>188</v>
      </c>
      <c r="C46" s="133"/>
      <c r="D46" s="133"/>
      <c r="E46" s="210"/>
      <c r="F46" s="481">
        <v>0.29299999999999998</v>
      </c>
      <c r="G46" s="480"/>
      <c r="H46" s="481">
        <v>0.1</v>
      </c>
      <c r="I46" s="210"/>
      <c r="J46" s="481">
        <v>0.1</v>
      </c>
      <c r="K46" s="210"/>
      <c r="L46" s="481">
        <v>0.12</v>
      </c>
      <c r="M46" s="480"/>
      <c r="N46" s="479"/>
      <c r="O46" s="210"/>
      <c r="P46" s="211"/>
      <c r="Q46" s="101"/>
      <c r="S46" s="75"/>
      <c r="T46" s="49"/>
    </row>
    <row r="47" spans="1:24" s="59" customFormat="1" ht="11.45" customHeight="1">
      <c r="A47" s="210"/>
      <c r="B47" s="482" t="s">
        <v>193</v>
      </c>
      <c r="C47" s="483"/>
      <c r="D47" s="483"/>
      <c r="E47" s="210"/>
      <c r="F47" s="472"/>
      <c r="G47" s="473"/>
      <c r="H47" s="220"/>
      <c r="I47" s="210"/>
      <c r="J47" s="210"/>
      <c r="K47" s="210"/>
      <c r="L47" s="220"/>
      <c r="M47" s="473"/>
      <c r="N47" s="220"/>
      <c r="O47" s="220"/>
      <c r="P47" s="220"/>
      <c r="Q47" s="78"/>
      <c r="R47" s="419"/>
      <c r="S47" s="75"/>
      <c r="T47" s="49"/>
    </row>
    <row r="48" spans="1:24" s="59" customFormat="1" ht="11.45" customHeight="1">
      <c r="A48" s="210"/>
      <c r="B48" s="210"/>
      <c r="C48" s="210"/>
      <c r="D48" s="210"/>
      <c r="E48" s="210"/>
      <c r="F48" s="472"/>
      <c r="G48" s="473"/>
      <c r="H48" s="220"/>
      <c r="I48" s="210"/>
      <c r="J48" s="210"/>
      <c r="K48" s="210"/>
      <c r="L48" s="220"/>
      <c r="M48" s="473"/>
      <c r="N48" s="220"/>
      <c r="O48" s="220"/>
      <c r="P48" s="220"/>
      <c r="Q48" s="78"/>
      <c r="S48" s="75"/>
      <c r="T48" s="72"/>
    </row>
    <row r="49" spans="1:21" s="41" customFormat="1" ht="15" customHeight="1">
      <c r="A49" s="405" t="s">
        <v>257</v>
      </c>
      <c r="B49" s="404"/>
      <c r="C49" s="404"/>
      <c r="D49" s="404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425"/>
      <c r="P49" s="426"/>
      <c r="Q49" s="427"/>
      <c r="R49" s="427"/>
      <c r="S49" s="80"/>
      <c r="T49" s="80"/>
      <c r="U49" s="79"/>
    </row>
    <row r="50" spans="1:21" s="41" customFormat="1" ht="11.45" customHeight="1" thickBot="1">
      <c r="A50" s="209"/>
      <c r="B50" s="209"/>
      <c r="C50" s="209"/>
      <c r="D50" s="209"/>
      <c r="E50" s="209"/>
      <c r="F50" s="474"/>
      <c r="G50" s="209"/>
      <c r="H50" s="209"/>
      <c r="I50" s="209"/>
      <c r="J50" s="209"/>
      <c r="K50" s="209"/>
      <c r="L50" s="209"/>
      <c r="M50" s="209"/>
      <c r="N50" s="209"/>
      <c r="O50" s="221"/>
      <c r="P50" s="221"/>
      <c r="Q50" s="432"/>
      <c r="R50" s="73"/>
      <c r="S50" s="73"/>
      <c r="T50" s="73"/>
      <c r="U50" s="49"/>
    </row>
    <row r="51" spans="1:21" s="76" customFormat="1" ht="11.45" customHeight="1">
      <c r="A51" s="210"/>
      <c r="B51" s="210"/>
      <c r="C51" s="210"/>
      <c r="D51" s="210"/>
      <c r="E51" s="210"/>
      <c r="F51" s="540" t="s">
        <v>5</v>
      </c>
      <c r="G51" s="540"/>
      <c r="H51" s="540"/>
      <c r="I51" s="210"/>
      <c r="J51" s="540" t="s">
        <v>20</v>
      </c>
      <c r="K51" s="540"/>
      <c r="L51" s="540"/>
      <c r="M51" s="498"/>
      <c r="N51" s="406"/>
      <c r="O51" s="413"/>
      <c r="P51" s="210"/>
    </row>
    <row r="52" spans="1:21" s="76" customFormat="1" ht="11.45" customHeight="1">
      <c r="A52" s="210"/>
      <c r="B52" s="210"/>
      <c r="C52" s="210"/>
      <c r="D52" s="210"/>
      <c r="E52" s="210"/>
      <c r="F52" s="541" t="s">
        <v>1</v>
      </c>
      <c r="G52" s="541"/>
      <c r="H52" s="541"/>
      <c r="I52" s="210"/>
      <c r="J52" s="541" t="s">
        <v>1</v>
      </c>
      <c r="K52" s="541"/>
      <c r="L52" s="541"/>
      <c r="M52" s="467"/>
      <c r="N52" s="406"/>
      <c r="O52" s="413"/>
      <c r="P52" s="210"/>
    </row>
    <row r="53" spans="1:21" s="41" customFormat="1" ht="11.45" customHeight="1">
      <c r="A53" s="484" t="s">
        <v>103</v>
      </c>
      <c r="B53" s="485"/>
      <c r="C53" s="485"/>
      <c r="D53" s="485" t="s">
        <v>0</v>
      </c>
      <c r="E53" s="182"/>
      <c r="F53" s="485">
        <v>2016</v>
      </c>
      <c r="G53" s="182"/>
      <c r="H53" s="485">
        <v>2015</v>
      </c>
      <c r="I53" s="182"/>
      <c r="J53" s="386">
        <v>2016</v>
      </c>
      <c r="K53" s="210"/>
      <c r="L53" s="485">
        <v>2015</v>
      </c>
      <c r="M53" s="182"/>
      <c r="N53" s="182"/>
      <c r="O53" s="413" t="s">
        <v>0</v>
      </c>
      <c r="P53" s="131"/>
      <c r="Q53" s="59"/>
      <c r="R53" s="432"/>
      <c r="S53" s="61"/>
      <c r="T53" s="61"/>
    </row>
    <row r="54" spans="1:21" s="41" customFormat="1" ht="11.45" customHeight="1">
      <c r="A54" s="486"/>
      <c r="B54" s="182"/>
      <c r="C54" s="182"/>
      <c r="D54" s="182"/>
      <c r="E54" s="182"/>
      <c r="F54" s="182"/>
      <c r="G54" s="182"/>
      <c r="H54" s="487"/>
      <c r="I54" s="182"/>
      <c r="J54" s="182"/>
      <c r="K54" s="182"/>
      <c r="L54" s="487"/>
      <c r="M54" s="182"/>
      <c r="N54" s="182"/>
      <c r="O54" s="433" t="s">
        <v>0</v>
      </c>
      <c r="P54" s="131"/>
      <c r="Q54" s="59"/>
      <c r="R54" s="49"/>
      <c r="S54" s="39"/>
      <c r="T54" s="74"/>
    </row>
    <row r="55" spans="1:21" s="41" customFormat="1" ht="11.45" customHeight="1">
      <c r="A55" s="173" t="s">
        <v>0</v>
      </c>
      <c r="B55" s="173" t="s">
        <v>214</v>
      </c>
      <c r="C55" s="174"/>
      <c r="D55" s="290"/>
      <c r="E55" s="174"/>
      <c r="F55" s="147">
        <v>-133.37700000000001</v>
      </c>
      <c r="G55" s="148"/>
      <c r="H55" s="147">
        <v>-165.524</v>
      </c>
      <c r="I55" s="174"/>
      <c r="J55" s="147">
        <f>-460.7+F55-0.1</f>
        <v>-594.17700000000002</v>
      </c>
      <c r="K55" s="174"/>
      <c r="L55" s="147">
        <v>-716.4</v>
      </c>
      <c r="M55" s="148"/>
      <c r="N55" s="147"/>
      <c r="O55" s="131"/>
      <c r="P55" s="132"/>
      <c r="Q55" s="101"/>
      <c r="R55" s="59"/>
    </row>
    <row r="56" spans="1:21" s="41" customFormat="1" ht="11.45" customHeight="1">
      <c r="A56" s="173" t="s">
        <v>0</v>
      </c>
      <c r="B56" s="173" t="s">
        <v>215</v>
      </c>
      <c r="C56" s="174"/>
      <c r="D56" s="291" t="s">
        <v>0</v>
      </c>
      <c r="E56" s="174"/>
      <c r="F56" s="147">
        <v>-8.8000000000000007</v>
      </c>
      <c r="G56" s="147"/>
      <c r="H56" s="147">
        <v>-7.8</v>
      </c>
      <c r="I56" s="174"/>
      <c r="J56" s="147">
        <f>-20.9+F56</f>
        <v>-29.7</v>
      </c>
      <c r="K56" s="174"/>
      <c r="L56" s="147">
        <v>-32.6</v>
      </c>
      <c r="M56" s="147"/>
      <c r="N56" s="147"/>
      <c r="O56" s="131"/>
      <c r="P56" s="132"/>
      <c r="Q56" s="101"/>
      <c r="R56" s="90"/>
      <c r="S56" s="57"/>
    </row>
    <row r="57" spans="1:21" s="41" customFormat="1" ht="11.45" customHeight="1">
      <c r="A57" s="488" t="s">
        <v>0</v>
      </c>
      <c r="B57" s="488" t="s">
        <v>197</v>
      </c>
      <c r="C57" s="488"/>
      <c r="D57" s="489"/>
      <c r="E57" s="174"/>
      <c r="F57" s="147">
        <v>-9.3840000000000003</v>
      </c>
      <c r="G57" s="147">
        <v>11</v>
      </c>
      <c r="H57" s="147">
        <v>-12.5</v>
      </c>
      <c r="I57" s="174"/>
      <c r="J57" s="147">
        <f>-29+F57</f>
        <v>-38.384</v>
      </c>
      <c r="K57" s="174"/>
      <c r="L57" s="147">
        <v>-44.1</v>
      </c>
      <c r="M57" s="147"/>
      <c r="N57" s="147"/>
      <c r="O57" s="131"/>
      <c r="P57" s="132"/>
      <c r="Q57" s="101"/>
      <c r="R57" s="59"/>
    </row>
    <row r="58" spans="1:21" s="284" customFormat="1" ht="11.45" customHeight="1">
      <c r="A58" s="264"/>
      <c r="B58" s="264" t="s">
        <v>212</v>
      </c>
      <c r="C58" s="264"/>
      <c r="D58" s="490"/>
      <c r="E58" s="264"/>
      <c r="F58" s="491">
        <f>SUM(F55:F57)</f>
        <v>-151.56100000000004</v>
      </c>
      <c r="G58" s="146"/>
      <c r="H58" s="491">
        <f>SUM(H55:H57)</f>
        <v>-185.82400000000001</v>
      </c>
      <c r="I58" s="264"/>
      <c r="J58" s="491">
        <f>SUM(J55:J57)</f>
        <v>-662.26100000000008</v>
      </c>
      <c r="K58" s="264"/>
      <c r="L58" s="491">
        <f>SUM(L55:L57)</f>
        <v>-793.1</v>
      </c>
      <c r="M58" s="146"/>
      <c r="N58" s="146"/>
      <c r="O58" s="224"/>
      <c r="P58" s="224"/>
      <c r="Q58" s="435"/>
      <c r="R58" s="414"/>
    </row>
    <row r="59" spans="1:21" s="41" customFormat="1" ht="11.45" customHeight="1">
      <c r="A59" s="131" t="s">
        <v>0</v>
      </c>
      <c r="B59" s="131" t="s">
        <v>182</v>
      </c>
      <c r="C59" s="131"/>
      <c r="D59" s="131"/>
      <c r="E59" s="210"/>
      <c r="F59" s="147">
        <v>46.978999999999999</v>
      </c>
      <c r="G59" s="225"/>
      <c r="H59" s="147">
        <v>70.206999999999994</v>
      </c>
      <c r="I59" s="210"/>
      <c r="J59" s="147">
        <f>154+F59</f>
        <v>200.97899999999998</v>
      </c>
      <c r="K59" s="210"/>
      <c r="L59" s="147">
        <v>303.3</v>
      </c>
      <c r="M59" s="500"/>
      <c r="N59" s="225"/>
      <c r="O59" s="225"/>
      <c r="P59" s="225"/>
      <c r="Q59" s="73"/>
      <c r="R59" s="59"/>
      <c r="S59" s="59"/>
    </row>
    <row r="60" spans="1:21" s="41" customFormat="1" ht="11.45" customHeight="1">
      <c r="A60" s="131" t="s">
        <v>0</v>
      </c>
      <c r="B60" s="131" t="s">
        <v>72</v>
      </c>
      <c r="C60" s="131"/>
      <c r="D60" s="131"/>
      <c r="E60" s="210"/>
      <c r="F60" s="148">
        <v>3.54</v>
      </c>
      <c r="G60" s="225"/>
      <c r="H60" s="148">
        <v>2.8</v>
      </c>
      <c r="I60" s="210"/>
      <c r="J60" s="148">
        <f>6.7+F60</f>
        <v>10.24</v>
      </c>
      <c r="K60" s="210"/>
      <c r="L60" s="148">
        <v>12.3</v>
      </c>
      <c r="M60" s="500"/>
      <c r="N60" s="225"/>
      <c r="O60" s="225"/>
      <c r="P60" s="225"/>
      <c r="Q60" s="73"/>
      <c r="R60" s="59"/>
    </row>
    <row r="61" spans="1:21" s="41" customFormat="1" ht="11.45" customHeight="1">
      <c r="A61" s="410"/>
      <c r="B61" s="134" t="s">
        <v>256</v>
      </c>
      <c r="C61" s="134"/>
      <c r="D61" s="134"/>
      <c r="E61" s="409"/>
      <c r="F61" s="149">
        <f>SUM(F58:F60)</f>
        <v>-101.04200000000003</v>
      </c>
      <c r="G61" s="492"/>
      <c r="H61" s="149">
        <f>SUM(H58:H60)</f>
        <v>-112.81700000000002</v>
      </c>
      <c r="I61" s="409"/>
      <c r="J61" s="149">
        <f>SUM(J58:J60)</f>
        <v>-451.04200000000009</v>
      </c>
      <c r="K61" s="409"/>
      <c r="L61" s="149">
        <f>SUM(L58:L60)</f>
        <v>-477.5</v>
      </c>
      <c r="M61" s="500"/>
      <c r="N61" s="225"/>
      <c r="O61" s="225"/>
      <c r="P61" s="225"/>
      <c r="Q61" s="73"/>
      <c r="R61" s="59"/>
    </row>
    <row r="62" spans="1:21" s="41" customFormat="1" ht="11.45" customHeight="1">
      <c r="A62" s="131"/>
      <c r="B62" s="131"/>
      <c r="C62" s="131"/>
      <c r="D62" s="131"/>
      <c r="E62" s="210"/>
      <c r="F62" s="147"/>
      <c r="G62" s="225"/>
      <c r="H62" s="147"/>
      <c r="I62" s="210"/>
      <c r="J62" s="210"/>
      <c r="K62" s="210"/>
      <c r="L62" s="147"/>
      <c r="M62" s="500"/>
      <c r="N62" s="225"/>
      <c r="O62" s="225"/>
      <c r="P62" s="225"/>
      <c r="Q62" s="73"/>
      <c r="R62" s="59"/>
    </row>
    <row r="63" spans="1:21" s="41" customFormat="1" ht="11.45" customHeight="1">
      <c r="A63" s="131"/>
      <c r="B63" s="131"/>
      <c r="C63" s="131"/>
      <c r="D63" s="131"/>
      <c r="E63" s="211"/>
      <c r="F63" s="221"/>
      <c r="G63" s="222"/>
      <c r="H63" s="221"/>
      <c r="I63" s="211"/>
      <c r="J63" s="211"/>
      <c r="K63" s="211"/>
      <c r="L63" s="221"/>
      <c r="M63" s="222"/>
      <c r="N63" s="221"/>
      <c r="O63" s="225"/>
      <c r="P63" s="225"/>
      <c r="Q63" s="73"/>
      <c r="R63" s="59"/>
    </row>
    <row r="64" spans="1:21" s="41" customFormat="1" ht="15" customHeight="1">
      <c r="A64" s="405" t="s">
        <v>251</v>
      </c>
      <c r="B64" s="404"/>
      <c r="C64" s="404"/>
      <c r="D64" s="404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425"/>
      <c r="P64" s="426"/>
      <c r="Q64" s="427"/>
      <c r="R64" s="427"/>
      <c r="S64" s="80"/>
      <c r="T64" s="80"/>
      <c r="U64" s="79"/>
    </row>
    <row r="65" spans="1:18" s="41" customFormat="1" ht="11.45" customHeight="1">
      <c r="A65" s="227"/>
      <c r="B65" s="132"/>
      <c r="C65" s="132"/>
      <c r="D65" s="132"/>
      <c r="E65" s="132"/>
      <c r="F65" s="493"/>
      <c r="G65" s="132"/>
      <c r="H65" s="132"/>
      <c r="I65" s="132"/>
      <c r="J65" s="132"/>
      <c r="K65" s="132"/>
      <c r="L65" s="132"/>
      <c r="M65" s="132"/>
      <c r="N65" s="132"/>
      <c r="O65" s="131"/>
      <c r="P65" s="131"/>
      <c r="Q65" s="49"/>
      <c r="R65" s="59"/>
    </row>
    <row r="66" spans="1:18" s="41" customFormat="1" ht="11.45" customHeight="1" thickBot="1">
      <c r="A66" s="209" t="s">
        <v>240</v>
      </c>
      <c r="B66" s="209"/>
      <c r="C66" s="209"/>
      <c r="D66" s="209"/>
      <c r="E66" s="209"/>
      <c r="F66" s="474"/>
      <c r="G66" s="209"/>
      <c r="H66" s="209"/>
      <c r="I66" s="209"/>
      <c r="J66" s="209"/>
      <c r="K66" s="209"/>
      <c r="L66" s="209"/>
      <c r="M66" s="209"/>
      <c r="N66" s="209"/>
      <c r="O66" s="131"/>
      <c r="P66" s="131"/>
      <c r="Q66" s="47"/>
      <c r="R66" s="59"/>
    </row>
    <row r="67" spans="1:18" s="76" customFormat="1" ht="11.45" customHeight="1">
      <c r="A67" s="210"/>
      <c r="B67" s="210"/>
      <c r="C67" s="210"/>
      <c r="D67" s="210"/>
      <c r="E67" s="210"/>
      <c r="F67" s="540" t="s">
        <v>5</v>
      </c>
      <c r="G67" s="540"/>
      <c r="H67" s="540"/>
      <c r="I67" s="210"/>
      <c r="J67" s="540" t="s">
        <v>20</v>
      </c>
      <c r="K67" s="540"/>
      <c r="L67" s="540"/>
      <c r="M67" s="527"/>
      <c r="N67" s="526"/>
      <c r="O67" s="413"/>
      <c r="P67" s="210"/>
    </row>
    <row r="68" spans="1:18" s="76" customFormat="1" ht="11.45" customHeight="1">
      <c r="A68" s="210"/>
      <c r="B68" s="210"/>
      <c r="C68" s="210"/>
      <c r="D68" s="210"/>
      <c r="E68" s="210"/>
      <c r="F68" s="541" t="s">
        <v>1</v>
      </c>
      <c r="G68" s="541"/>
      <c r="H68" s="541"/>
      <c r="I68" s="210"/>
      <c r="J68" s="541" t="s">
        <v>1</v>
      </c>
      <c r="K68" s="541"/>
      <c r="L68" s="541"/>
      <c r="M68" s="411"/>
      <c r="N68" s="526"/>
      <c r="O68" s="413"/>
      <c r="P68" s="210"/>
    </row>
    <row r="69" spans="1:18" s="41" customFormat="1" ht="11.45" customHeight="1">
      <c r="A69" s="135" t="s">
        <v>103</v>
      </c>
      <c r="B69" s="133"/>
      <c r="C69" s="133"/>
      <c r="D69" s="133"/>
      <c r="E69" s="131"/>
      <c r="F69" s="277">
        <v>2016</v>
      </c>
      <c r="G69" s="214"/>
      <c r="H69" s="215">
        <f>+$L$29</f>
        <v>2015</v>
      </c>
      <c r="I69" s="131"/>
      <c r="J69" s="386">
        <v>2016</v>
      </c>
      <c r="K69" s="210"/>
      <c r="L69" s="215">
        <f>+$L$29</f>
        <v>2015</v>
      </c>
      <c r="M69" s="214"/>
      <c r="N69" s="418"/>
      <c r="O69" s="418"/>
      <c r="P69" s="418"/>
      <c r="Q69" s="59"/>
      <c r="R69" s="59"/>
    </row>
    <row r="70" spans="1:18" s="44" customFormat="1" ht="11.45" customHeight="1">
      <c r="A70" s="131"/>
      <c r="B70" s="131" t="s">
        <v>70</v>
      </c>
      <c r="C70" s="131"/>
      <c r="D70" s="131"/>
      <c r="E70" s="131"/>
      <c r="F70" s="148">
        <f>-76.595</f>
        <v>-76.594999999999999</v>
      </c>
      <c r="G70" s="148"/>
      <c r="H70" s="148">
        <v>-101.8</v>
      </c>
      <c r="I70" s="131"/>
      <c r="J70" s="147">
        <f>-202.6+F70</f>
        <v>-279.19499999999999</v>
      </c>
      <c r="K70" s="131"/>
      <c r="L70" s="148">
        <v>-327.60000000000002</v>
      </c>
      <c r="M70" s="148"/>
      <c r="N70" s="148"/>
      <c r="O70" s="229"/>
      <c r="P70" s="229"/>
      <c r="Q70" s="451"/>
      <c r="R70" s="452"/>
    </row>
    <row r="71" spans="1:18" s="41" customFormat="1" ht="11.45" customHeight="1">
      <c r="A71" s="131"/>
      <c r="B71" s="131" t="s">
        <v>221</v>
      </c>
      <c r="C71" s="131"/>
      <c r="D71" s="131"/>
      <c r="E71" s="131"/>
      <c r="F71" s="148">
        <v>0</v>
      </c>
      <c r="G71" s="148"/>
      <c r="H71" s="148">
        <v>0</v>
      </c>
      <c r="I71" s="131"/>
      <c r="J71" s="148">
        <f>-14.6+F71</f>
        <v>-14.6</v>
      </c>
      <c r="K71" s="131"/>
      <c r="L71" s="148">
        <v>0</v>
      </c>
      <c r="M71" s="147"/>
      <c r="N71" s="147"/>
      <c r="O71" s="229"/>
      <c r="P71" s="223"/>
      <c r="Q71" s="398"/>
      <c r="R71" s="59"/>
    </row>
    <row r="72" spans="1:18" s="41" customFormat="1" ht="11.45" customHeight="1">
      <c r="A72" s="131"/>
      <c r="B72" s="131" t="s">
        <v>222</v>
      </c>
      <c r="C72" s="133"/>
      <c r="D72" s="133"/>
      <c r="E72" s="131"/>
      <c r="F72" s="148">
        <f>-7.698-13.26</f>
        <v>-20.957999999999998</v>
      </c>
      <c r="G72" s="147"/>
      <c r="H72" s="148">
        <v>-102.5</v>
      </c>
      <c r="I72" s="131"/>
      <c r="J72" s="148">
        <f>F72-9.178</f>
        <v>-30.135999999999999</v>
      </c>
      <c r="K72" s="131"/>
      <c r="L72" s="148">
        <v>-102.5</v>
      </c>
      <c r="M72" s="147"/>
      <c r="N72" s="147"/>
      <c r="O72" s="229"/>
      <c r="P72" s="223"/>
      <c r="Q72" s="398"/>
      <c r="R72" s="59"/>
    </row>
    <row r="73" spans="1:18" s="41" customFormat="1" ht="11.45" customHeight="1">
      <c r="A73" s="410"/>
      <c r="B73" s="134" t="s">
        <v>213</v>
      </c>
      <c r="C73" s="133"/>
      <c r="D73" s="133"/>
      <c r="E73" s="131"/>
      <c r="F73" s="149">
        <f>SUM(F70:F72)</f>
        <v>-97.552999999999997</v>
      </c>
      <c r="G73" s="147"/>
      <c r="H73" s="149">
        <f>SUM(H70:H72)</f>
        <v>-204.3</v>
      </c>
      <c r="I73" s="131"/>
      <c r="J73" s="149">
        <f>SUM(J70:J72)</f>
        <v>-323.93100000000004</v>
      </c>
      <c r="K73" s="131"/>
      <c r="L73" s="149">
        <f>SUM(L70:L72)</f>
        <v>-430.1</v>
      </c>
      <c r="M73" s="147"/>
      <c r="N73" s="146"/>
      <c r="O73" s="428"/>
      <c r="P73" s="415"/>
      <c r="Q73" s="59"/>
      <c r="R73" s="59"/>
    </row>
    <row r="74" spans="1:18" s="41" customFormat="1" ht="11.45" customHeight="1">
      <c r="A74" s="131"/>
      <c r="B74" s="130"/>
      <c r="C74" s="131"/>
      <c r="D74" s="131"/>
      <c r="E74" s="131"/>
      <c r="F74" s="146"/>
      <c r="G74" s="147"/>
      <c r="H74" s="146"/>
      <c r="I74" s="131"/>
      <c r="J74" s="146"/>
      <c r="K74" s="131"/>
      <c r="L74" s="146"/>
      <c r="M74" s="147"/>
      <c r="N74" s="146"/>
      <c r="O74" s="428"/>
      <c r="P74" s="415"/>
      <c r="Q74" s="59"/>
      <c r="R74" s="59"/>
    </row>
    <row r="75" spans="1:18" s="41" customFormat="1" ht="11.45" customHeight="1" thickBot="1">
      <c r="A75" s="209" t="s">
        <v>241</v>
      </c>
      <c r="B75" s="209"/>
      <c r="C75" s="209"/>
      <c r="D75" s="209"/>
      <c r="E75" s="209"/>
      <c r="F75" s="474"/>
      <c r="G75" s="209"/>
      <c r="H75" s="209"/>
      <c r="I75" s="209"/>
      <c r="J75" s="209"/>
      <c r="K75" s="209"/>
      <c r="L75" s="209"/>
      <c r="M75" s="209"/>
      <c r="N75" s="209"/>
      <c r="O75" s="131"/>
      <c r="P75" s="131"/>
      <c r="Q75" s="47"/>
      <c r="R75" s="59"/>
    </row>
    <row r="76" spans="1:18" s="76" customFormat="1" ht="11.45" customHeight="1">
      <c r="A76" s="210"/>
      <c r="B76" s="210"/>
      <c r="C76" s="210"/>
      <c r="D76" s="210"/>
      <c r="E76" s="210"/>
      <c r="F76" s="540" t="s">
        <v>5</v>
      </c>
      <c r="G76" s="540"/>
      <c r="H76" s="540"/>
      <c r="I76" s="210"/>
      <c r="J76" s="540" t="s">
        <v>20</v>
      </c>
      <c r="K76" s="540"/>
      <c r="L76" s="540"/>
      <c r="M76" s="466"/>
      <c r="N76" s="406"/>
      <c r="O76" s="413"/>
      <c r="P76" s="210"/>
    </row>
    <row r="77" spans="1:18" s="76" customFormat="1" ht="11.45" customHeight="1">
      <c r="A77" s="210"/>
      <c r="B77" s="210"/>
      <c r="C77" s="210"/>
      <c r="D77" s="210"/>
      <c r="E77" s="210"/>
      <c r="F77" s="541" t="s">
        <v>1</v>
      </c>
      <c r="G77" s="541"/>
      <c r="H77" s="541"/>
      <c r="I77" s="210"/>
      <c r="J77" s="541" t="s">
        <v>1</v>
      </c>
      <c r="K77" s="541"/>
      <c r="L77" s="541"/>
      <c r="M77" s="411"/>
      <c r="N77" s="406"/>
      <c r="O77" s="413"/>
      <c r="P77" s="210"/>
    </row>
    <row r="78" spans="1:18" s="41" customFormat="1" ht="11.45" customHeight="1">
      <c r="A78" s="135" t="s">
        <v>103</v>
      </c>
      <c r="B78" s="133"/>
      <c r="C78" s="133"/>
      <c r="D78" s="133"/>
      <c r="E78" s="131"/>
      <c r="F78" s="277">
        <v>2016</v>
      </c>
      <c r="G78" s="214"/>
      <c r="H78" s="215">
        <f>+$L$29</f>
        <v>2015</v>
      </c>
      <c r="I78" s="131"/>
      <c r="J78" s="386">
        <v>2016</v>
      </c>
      <c r="K78" s="210"/>
      <c r="L78" s="215">
        <f>+$L$29</f>
        <v>2015</v>
      </c>
      <c r="M78" s="214"/>
      <c r="N78" s="418"/>
      <c r="O78" s="418"/>
      <c r="P78" s="418"/>
      <c r="Q78" s="59"/>
      <c r="R78" s="59"/>
    </row>
    <row r="79" spans="1:18" s="41" customFormat="1" ht="11.45" customHeight="1">
      <c r="A79" s="241"/>
      <c r="B79" s="131"/>
      <c r="C79" s="131"/>
      <c r="D79" s="131"/>
      <c r="E79" s="131"/>
      <c r="F79" s="158" t="s">
        <v>0</v>
      </c>
      <c r="G79" s="158"/>
      <c r="H79" s="158"/>
      <c r="I79" s="131"/>
      <c r="J79" s="131"/>
      <c r="K79" s="131"/>
      <c r="L79" s="158"/>
      <c r="M79" s="158"/>
      <c r="N79" s="158"/>
      <c r="O79" s="158"/>
      <c r="P79" s="436"/>
      <c r="Q79" s="59"/>
      <c r="R79" s="59"/>
    </row>
    <row r="80" spans="1:18" s="41" customFormat="1" ht="11.45" customHeight="1">
      <c r="A80" s="132"/>
      <c r="B80" s="132" t="s">
        <v>71</v>
      </c>
      <c r="C80" s="132"/>
      <c r="D80" s="132"/>
      <c r="E80" s="131"/>
      <c r="F80" s="147">
        <v>-54.695</v>
      </c>
      <c r="G80" s="147"/>
      <c r="H80" s="147">
        <v>-54.2</v>
      </c>
      <c r="I80" s="131"/>
      <c r="J80" s="147">
        <f>-164+F80</f>
        <v>-218.69499999999999</v>
      </c>
      <c r="K80" s="131"/>
      <c r="L80" s="147">
        <v>-245.2</v>
      </c>
      <c r="M80" s="147"/>
      <c r="N80" s="147"/>
      <c r="O80" s="59"/>
      <c r="P80" s="59"/>
      <c r="Q80" s="59"/>
      <c r="R80" s="59"/>
    </row>
    <row r="81" spans="1:19" s="41" customFormat="1" ht="11.45" customHeight="1">
      <c r="A81" s="488"/>
      <c r="B81" s="133" t="s">
        <v>113</v>
      </c>
      <c r="C81" s="488"/>
      <c r="D81" s="489"/>
      <c r="E81" s="174"/>
      <c r="F81" s="188">
        <v>12.657</v>
      </c>
      <c r="G81" s="147"/>
      <c r="H81" s="188">
        <v>16.600000000000001</v>
      </c>
      <c r="I81" s="174"/>
      <c r="J81" s="188">
        <f>49+F81</f>
        <v>61.656999999999996</v>
      </c>
      <c r="K81" s="174"/>
      <c r="L81" s="188">
        <v>104.2</v>
      </c>
      <c r="M81" s="147"/>
      <c r="N81" s="190"/>
      <c r="O81" s="419"/>
      <c r="P81" s="59"/>
      <c r="Q81" s="59"/>
      <c r="R81" s="59"/>
    </row>
    <row r="82" spans="1:19" s="41" customFormat="1" ht="11.45" customHeight="1">
      <c r="A82" s="410"/>
      <c r="B82" s="134" t="s">
        <v>213</v>
      </c>
      <c r="C82" s="133"/>
      <c r="D82" s="133"/>
      <c r="E82" s="131"/>
      <c r="F82" s="149">
        <f>SUM(F80:F81)</f>
        <v>-42.037999999999997</v>
      </c>
      <c r="G82" s="147"/>
      <c r="H82" s="149">
        <f>SUM(H80:H81)</f>
        <v>-37.6</v>
      </c>
      <c r="I82" s="131"/>
      <c r="J82" s="149">
        <f>SUM(J80:J81)</f>
        <v>-157.03800000000001</v>
      </c>
      <c r="K82" s="131"/>
      <c r="L82" s="149">
        <f>SUM(L80:L81)</f>
        <v>-141</v>
      </c>
      <c r="M82" s="147"/>
      <c r="N82" s="146"/>
      <c r="O82" s="428"/>
      <c r="P82" s="415"/>
      <c r="Q82" s="59"/>
      <c r="R82" s="59"/>
    </row>
    <row r="83" spans="1:19" s="41" customFormat="1" ht="11.45" customHeight="1">
      <c r="A83" s="132"/>
      <c r="B83" s="132"/>
      <c r="C83" s="132"/>
      <c r="D83" s="132"/>
      <c r="E83" s="132"/>
      <c r="F83" s="269"/>
      <c r="G83" s="223"/>
      <c r="H83" s="278"/>
      <c r="I83" s="132"/>
      <c r="J83" s="132"/>
      <c r="K83" s="132"/>
      <c r="L83" s="278"/>
      <c r="M83" s="223"/>
      <c r="N83" s="223"/>
      <c r="O83" s="229"/>
      <c r="P83" s="278"/>
      <c r="Q83" s="59"/>
      <c r="R83" s="59"/>
    </row>
    <row r="84" spans="1:19" s="41" customFormat="1" ht="11.45" customHeight="1" thickBot="1">
      <c r="A84" s="512" t="s">
        <v>248</v>
      </c>
      <c r="B84" s="209"/>
      <c r="C84" s="209"/>
      <c r="D84" s="209"/>
      <c r="E84" s="209"/>
      <c r="F84" s="240"/>
      <c r="G84" s="223"/>
      <c r="H84" s="223"/>
      <c r="I84" s="209"/>
      <c r="J84" s="132"/>
      <c r="K84" s="132"/>
      <c r="L84" s="240"/>
      <c r="M84" s="240"/>
      <c r="N84" s="240"/>
      <c r="O84" s="229"/>
      <c r="P84" s="278"/>
      <c r="Q84" s="59"/>
      <c r="R84" s="53"/>
      <c r="S84" s="54"/>
    </row>
    <row r="85" spans="1:19" s="76" customFormat="1" ht="11.45" customHeight="1">
      <c r="A85" s="210"/>
      <c r="B85" s="210"/>
      <c r="C85" s="210"/>
      <c r="D85" s="210"/>
      <c r="E85" s="210"/>
      <c r="F85" s="539" t="s">
        <v>5</v>
      </c>
      <c r="G85" s="540"/>
      <c r="H85" s="540"/>
      <c r="I85" s="210"/>
      <c r="J85" s="540" t="s">
        <v>20</v>
      </c>
      <c r="K85" s="540"/>
      <c r="L85" s="540"/>
      <c r="M85" s="518"/>
      <c r="N85" s="518"/>
      <c r="O85" s="413"/>
      <c r="P85" s="210"/>
    </row>
    <row r="86" spans="1:19" s="76" customFormat="1" ht="11.45" customHeight="1">
      <c r="A86" s="210"/>
      <c r="B86" s="210"/>
      <c r="C86" s="210"/>
      <c r="D86" s="210"/>
      <c r="E86" s="210"/>
      <c r="F86" s="541" t="s">
        <v>1</v>
      </c>
      <c r="G86" s="541"/>
      <c r="H86" s="541"/>
      <c r="I86" s="210"/>
      <c r="J86" s="541" t="s">
        <v>1</v>
      </c>
      <c r="K86" s="541"/>
      <c r="L86" s="541"/>
      <c r="M86" s="411"/>
      <c r="N86" s="518"/>
      <c r="O86" s="413"/>
      <c r="P86" s="210"/>
    </row>
    <row r="87" spans="1:19" s="41" customFormat="1" ht="11.45" customHeight="1">
      <c r="A87" s="135" t="s">
        <v>103</v>
      </c>
      <c r="B87" s="133"/>
      <c r="C87" s="133"/>
      <c r="D87" s="133"/>
      <c r="E87" s="131"/>
      <c r="F87" s="277">
        <v>2016</v>
      </c>
      <c r="G87" s="214"/>
      <c r="H87" s="215">
        <f>+$L$29</f>
        <v>2015</v>
      </c>
      <c r="I87" s="131"/>
      <c r="J87" s="386">
        <v>2016</v>
      </c>
      <c r="K87" s="210"/>
      <c r="L87" s="215">
        <f>+$L$29</f>
        <v>2015</v>
      </c>
      <c r="M87" s="214"/>
      <c r="N87" s="418"/>
      <c r="O87" s="418"/>
      <c r="P87" s="418"/>
      <c r="Q87" s="59"/>
      <c r="R87" s="59"/>
    </row>
    <row r="88" spans="1:19" s="41" customFormat="1" ht="11.45" customHeight="1">
      <c r="A88" s="241"/>
      <c r="B88" s="131"/>
      <c r="C88" s="131"/>
      <c r="D88" s="131"/>
      <c r="E88" s="131"/>
      <c r="F88" s="158" t="s">
        <v>0</v>
      </c>
      <c r="G88" s="158"/>
      <c r="H88" s="158"/>
      <c r="I88" s="131"/>
      <c r="J88" s="131"/>
      <c r="K88" s="131"/>
      <c r="L88" s="158"/>
      <c r="M88" s="158"/>
      <c r="N88" s="158"/>
      <c r="O88" s="158"/>
      <c r="P88" s="436"/>
      <c r="Q88" s="59"/>
      <c r="R88" s="59"/>
    </row>
    <row r="89" spans="1:19" s="41" customFormat="1" ht="11.45" customHeight="1">
      <c r="A89" s="132"/>
      <c r="B89" s="132" t="s">
        <v>245</v>
      </c>
      <c r="C89" s="132"/>
      <c r="D89" s="132"/>
      <c r="E89" s="131"/>
      <c r="F89" s="147">
        <v>-7.806</v>
      </c>
      <c r="G89" s="147"/>
      <c r="H89" s="147">
        <v>-0.53475099999999998</v>
      </c>
      <c r="I89" s="131"/>
      <c r="J89" s="147">
        <f>-4.2+F89</f>
        <v>-12.006</v>
      </c>
      <c r="K89" s="131"/>
      <c r="L89" s="147">
        <v>-122.2</v>
      </c>
      <c r="M89" s="147"/>
      <c r="N89" s="147"/>
      <c r="O89" s="59"/>
      <c r="P89" s="59"/>
      <c r="Q89" s="59"/>
      <c r="R89" s="59"/>
    </row>
    <row r="90" spans="1:19" s="41" customFormat="1" ht="11.45" customHeight="1">
      <c r="A90" s="132"/>
      <c r="B90" s="131" t="s">
        <v>25</v>
      </c>
      <c r="C90" s="132"/>
      <c r="D90" s="132"/>
      <c r="E90" s="131"/>
      <c r="F90" s="147">
        <v>0</v>
      </c>
      <c r="G90" s="147"/>
      <c r="H90" s="147">
        <v>-171.85900000000001</v>
      </c>
      <c r="I90" s="131"/>
      <c r="J90" s="147">
        <f>0+F90</f>
        <v>0</v>
      </c>
      <c r="K90" s="131"/>
      <c r="L90" s="147">
        <v>-139.9</v>
      </c>
      <c r="M90" s="147"/>
      <c r="N90" s="190"/>
      <c r="O90" s="419"/>
      <c r="P90" s="59"/>
      <c r="Q90" s="59"/>
      <c r="R90" s="59"/>
    </row>
    <row r="91" spans="1:19" s="44" customFormat="1" ht="11.45" customHeight="1">
      <c r="A91" s="131"/>
      <c r="B91" s="131" t="s">
        <v>223</v>
      </c>
      <c r="C91" s="133"/>
      <c r="D91" s="133"/>
      <c r="E91" s="131"/>
      <c r="F91" s="148">
        <v>0</v>
      </c>
      <c r="G91" s="148"/>
      <c r="H91" s="148">
        <v>0</v>
      </c>
      <c r="I91" s="131"/>
      <c r="J91" s="147">
        <f>0+F91</f>
        <v>0</v>
      </c>
      <c r="K91" s="131"/>
      <c r="L91" s="148">
        <v>-32.6</v>
      </c>
      <c r="M91" s="148"/>
      <c r="N91" s="148"/>
      <c r="O91" s="229"/>
      <c r="P91" s="229"/>
      <c r="Q91" s="451"/>
      <c r="R91" s="452"/>
    </row>
    <row r="92" spans="1:19" s="41" customFormat="1" ht="11.45" customHeight="1">
      <c r="A92" s="410"/>
      <c r="B92" s="134" t="s">
        <v>213</v>
      </c>
      <c r="C92" s="133"/>
      <c r="D92" s="133"/>
      <c r="E92" s="131"/>
      <c r="F92" s="149">
        <f>SUM(F89:F91)</f>
        <v>-7.806</v>
      </c>
      <c r="G92" s="147"/>
      <c r="H92" s="149">
        <f>SUM(H89:H91)</f>
        <v>-172.39375100000001</v>
      </c>
      <c r="I92" s="131"/>
      <c r="J92" s="149">
        <f>SUM(J89:J91)</f>
        <v>-12.006</v>
      </c>
      <c r="K92" s="131"/>
      <c r="L92" s="149">
        <f>SUM(L89:L91)</f>
        <v>-294.70000000000005</v>
      </c>
      <c r="M92" s="147"/>
      <c r="N92" s="146"/>
      <c r="O92" s="428"/>
      <c r="P92" s="415"/>
      <c r="Q92" s="59"/>
      <c r="R92" s="59"/>
    </row>
    <row r="93" spans="1:19" s="41" customFormat="1" ht="11.45" customHeight="1">
      <c r="A93" s="131"/>
      <c r="B93" s="130"/>
      <c r="C93" s="131"/>
      <c r="D93" s="131"/>
      <c r="E93" s="131"/>
      <c r="F93" s="146"/>
      <c r="G93" s="147"/>
      <c r="H93" s="146"/>
      <c r="I93" s="131"/>
      <c r="J93" s="146"/>
      <c r="K93" s="131"/>
      <c r="L93" s="146"/>
      <c r="M93" s="147"/>
      <c r="N93" s="146"/>
      <c r="O93" s="428"/>
      <c r="P93" s="415"/>
      <c r="Q93" s="59"/>
      <c r="R93" s="59"/>
    </row>
    <row r="94" spans="1:19" s="41" customFormat="1" ht="11.45" customHeight="1">
      <c r="A94" s="131" t="s">
        <v>246</v>
      </c>
      <c r="B94" s="130"/>
      <c r="C94" s="131"/>
      <c r="D94" s="131"/>
      <c r="E94" s="131"/>
      <c r="F94" s="146"/>
      <c r="G94" s="147"/>
      <c r="H94" s="146"/>
      <c r="I94" s="131"/>
      <c r="J94" s="146"/>
      <c r="K94" s="131"/>
      <c r="L94" s="146"/>
      <c r="M94" s="147"/>
      <c r="N94" s="146"/>
      <c r="O94" s="428"/>
      <c r="P94" s="415"/>
      <c r="Q94" s="59"/>
      <c r="R94" s="59"/>
    </row>
    <row r="95" spans="1:19" s="41" customFormat="1" ht="11.45" customHeight="1">
      <c r="A95" s="131"/>
      <c r="B95" s="130"/>
      <c r="C95" s="131"/>
      <c r="D95" s="131"/>
      <c r="E95" s="131"/>
      <c r="F95" s="146"/>
      <c r="G95" s="147"/>
      <c r="H95" s="146"/>
      <c r="I95" s="131"/>
      <c r="J95" s="146"/>
      <c r="K95" s="131"/>
      <c r="L95" s="146"/>
      <c r="M95" s="147"/>
      <c r="N95" s="146"/>
      <c r="O95" s="428"/>
      <c r="P95" s="415"/>
      <c r="Q95" s="59"/>
      <c r="R95" s="59"/>
    </row>
    <row r="96" spans="1:19" s="41" customFormat="1" ht="11.25" customHeight="1" thickBot="1">
      <c r="A96" s="209" t="s">
        <v>252</v>
      </c>
      <c r="B96" s="209"/>
      <c r="C96" s="209"/>
      <c r="D96" s="209"/>
      <c r="E96" s="209"/>
      <c r="F96" s="474"/>
      <c r="G96" s="209"/>
      <c r="H96" s="209"/>
      <c r="I96" s="209"/>
      <c r="J96" s="209"/>
      <c r="K96" s="209"/>
      <c r="L96" s="209"/>
      <c r="M96" s="209"/>
      <c r="N96" s="209"/>
      <c r="O96" s="229"/>
      <c r="P96" s="278"/>
      <c r="Q96" s="59"/>
      <c r="R96" s="53"/>
      <c r="S96" s="54"/>
    </row>
    <row r="97" spans="1:21" s="41" customFormat="1" ht="11.25" customHeight="1">
      <c r="A97" s="210"/>
      <c r="B97" s="210"/>
      <c r="C97" s="210"/>
      <c r="D97" s="210"/>
      <c r="E97" s="210"/>
      <c r="F97" s="540" t="s">
        <v>5</v>
      </c>
      <c r="G97" s="540"/>
      <c r="H97" s="540"/>
      <c r="I97" s="210"/>
      <c r="J97" s="540" t="s">
        <v>20</v>
      </c>
      <c r="K97" s="540"/>
      <c r="L97" s="540"/>
      <c r="M97" s="523"/>
      <c r="N97" s="524"/>
      <c r="O97" s="229"/>
      <c r="P97" s="278"/>
      <c r="Q97" s="59"/>
      <c r="R97" s="53"/>
      <c r="S97" s="54"/>
    </row>
    <row r="98" spans="1:21" s="41" customFormat="1" ht="11.25" customHeight="1">
      <c r="A98" s="210"/>
      <c r="B98" s="210"/>
      <c r="C98" s="210"/>
      <c r="D98" s="210"/>
      <c r="E98" s="210"/>
      <c r="F98" s="541" t="s">
        <v>1</v>
      </c>
      <c r="G98" s="541"/>
      <c r="H98" s="541"/>
      <c r="I98" s="210"/>
      <c r="J98" s="541" t="s">
        <v>1</v>
      </c>
      <c r="K98" s="541"/>
      <c r="L98" s="541"/>
      <c r="M98" s="411"/>
      <c r="N98" s="524"/>
      <c r="O98" s="229"/>
      <c r="P98" s="278"/>
      <c r="Q98" s="59"/>
      <c r="R98" s="53"/>
      <c r="S98" s="54"/>
    </row>
    <row r="99" spans="1:21" s="41" customFormat="1" ht="11.25" customHeight="1">
      <c r="A99" s="135" t="s">
        <v>103</v>
      </c>
      <c r="B99" s="133"/>
      <c r="C99" s="133"/>
      <c r="D99" s="133"/>
      <c r="E99" s="131"/>
      <c r="F99" s="277">
        <v>2016</v>
      </c>
      <c r="G99" s="214"/>
      <c r="H99" s="215">
        <f>+$L$29</f>
        <v>2015</v>
      </c>
      <c r="I99" s="131"/>
      <c r="J99" s="386">
        <v>2016</v>
      </c>
      <c r="K99" s="210"/>
      <c r="L99" s="215">
        <f>+$L$29</f>
        <v>2015</v>
      </c>
      <c r="M99" s="214"/>
      <c r="N99" s="418"/>
      <c r="O99" s="229"/>
      <c r="P99" s="278"/>
      <c r="Q99" s="59"/>
      <c r="R99" s="53"/>
      <c r="S99" s="54"/>
    </row>
    <row r="100" spans="1:21" s="41" customFormat="1" ht="11.25" customHeight="1">
      <c r="A100" s="241"/>
      <c r="B100" s="131" t="s">
        <v>253</v>
      </c>
      <c r="C100" s="131"/>
      <c r="D100" s="131"/>
      <c r="E100" s="131"/>
      <c r="F100" s="148">
        <v>0</v>
      </c>
      <c r="G100" s="148"/>
      <c r="H100" s="148">
        <v>-16.295999999999999</v>
      </c>
      <c r="I100" s="148"/>
      <c r="J100" s="148">
        <v>0</v>
      </c>
      <c r="K100" s="148"/>
      <c r="L100" s="148">
        <v>-17.600000000000001</v>
      </c>
      <c r="M100" s="214"/>
      <c r="N100" s="418"/>
      <c r="O100" s="229"/>
      <c r="P100" s="278"/>
      <c r="Q100" s="59"/>
      <c r="R100" s="53"/>
      <c r="S100" s="54"/>
    </row>
    <row r="101" spans="1:21" s="41" customFormat="1" ht="11.25" customHeight="1">
      <c r="A101" s="131"/>
      <c r="B101" s="131" t="s">
        <v>254</v>
      </c>
      <c r="C101" s="131"/>
      <c r="D101" s="131"/>
      <c r="E101" s="131"/>
      <c r="F101" s="148">
        <v>-0.5</v>
      </c>
      <c r="G101" s="148"/>
      <c r="H101" s="148">
        <v>-6.88</v>
      </c>
      <c r="I101" s="148"/>
      <c r="J101" s="148">
        <v>-4.7119999999999997</v>
      </c>
      <c r="K101" s="148"/>
      <c r="L101" s="148">
        <v>-16.3</v>
      </c>
      <c r="M101" s="148"/>
      <c r="N101" s="148"/>
      <c r="O101" s="229"/>
      <c r="P101" s="278"/>
      <c r="Q101" s="59"/>
      <c r="R101" s="53"/>
      <c r="S101" s="54"/>
    </row>
    <row r="102" spans="1:21" s="41" customFormat="1" ht="11.25" customHeight="1">
      <c r="A102" s="131"/>
      <c r="B102" s="131" t="s">
        <v>255</v>
      </c>
      <c r="C102" s="131"/>
      <c r="D102" s="131"/>
      <c r="E102" s="131"/>
      <c r="F102" s="148">
        <v>2.3650000000000002</v>
      </c>
      <c r="G102" s="148"/>
      <c r="H102" s="148">
        <v>-7.859</v>
      </c>
      <c r="I102" s="148"/>
      <c r="J102" s="148">
        <v>3.7250000000000001</v>
      </c>
      <c r="K102" s="148"/>
      <c r="L102" s="148">
        <v>-11.1</v>
      </c>
      <c r="M102" s="147"/>
      <c r="N102" s="147"/>
      <c r="O102" s="229"/>
      <c r="P102" s="278"/>
      <c r="Q102" s="59"/>
      <c r="R102" s="53"/>
      <c r="S102" s="54"/>
    </row>
    <row r="103" spans="1:21" s="41" customFormat="1" ht="11.45" customHeight="1">
      <c r="A103" s="131"/>
      <c r="B103" s="131" t="s">
        <v>137</v>
      </c>
      <c r="C103" s="133"/>
      <c r="D103" s="133"/>
      <c r="E103" s="131"/>
      <c r="F103" s="148">
        <v>0</v>
      </c>
      <c r="G103" s="148"/>
      <c r="H103" s="148">
        <v>-4.0999999999999996</v>
      </c>
      <c r="I103" s="148"/>
      <c r="J103" s="148">
        <v>0.36099999999999999</v>
      </c>
      <c r="K103" s="148"/>
      <c r="L103" s="148">
        <v>-4</v>
      </c>
      <c r="M103" s="147"/>
      <c r="N103" s="147"/>
      <c r="O103" s="229"/>
      <c r="P103" s="223"/>
      <c r="Q103" s="398"/>
      <c r="R103" s="59"/>
    </row>
    <row r="104" spans="1:21" s="41" customFormat="1" ht="11.45" customHeight="1">
      <c r="A104" s="410"/>
      <c r="B104" s="134" t="s">
        <v>213</v>
      </c>
      <c r="C104" s="133"/>
      <c r="D104" s="133"/>
      <c r="E104" s="131"/>
      <c r="F104" s="149">
        <f>SUM(F100:F103)</f>
        <v>1.8650000000000002</v>
      </c>
      <c r="G104" s="147"/>
      <c r="H104" s="149">
        <f>SUM(H100:H103)</f>
        <v>-35.134999999999998</v>
      </c>
      <c r="I104" s="131"/>
      <c r="J104" s="149">
        <f>SUM(J100:J103)</f>
        <v>-0.62599999999999967</v>
      </c>
      <c r="K104" s="131"/>
      <c r="L104" s="149">
        <f>SUM(L100:L103)</f>
        <v>-49.000000000000007</v>
      </c>
      <c r="M104" s="147"/>
      <c r="N104" s="146"/>
      <c r="O104" s="428"/>
      <c r="P104" s="415"/>
      <c r="Q104" s="59"/>
      <c r="R104" s="59"/>
    </row>
    <row r="105" spans="1:21" s="41" customFormat="1" ht="15" customHeight="1">
      <c r="A105" s="131"/>
      <c r="B105" s="130"/>
      <c r="C105" s="131"/>
      <c r="D105" s="131"/>
      <c r="E105" s="131"/>
      <c r="F105" s="146"/>
      <c r="G105" s="147"/>
      <c r="H105" s="146"/>
      <c r="I105" s="131"/>
      <c r="J105" s="146"/>
      <c r="K105" s="131"/>
      <c r="L105" s="146"/>
      <c r="M105" s="147"/>
      <c r="N105" s="146"/>
      <c r="O105" s="425"/>
      <c r="P105" s="426"/>
      <c r="Q105" s="427"/>
      <c r="R105" s="427"/>
      <c r="S105" s="80"/>
      <c r="T105" s="80"/>
      <c r="U105" s="79"/>
    </row>
    <row r="106" spans="1:21" s="41" customFormat="1" ht="15" customHeight="1">
      <c r="A106" s="405" t="s">
        <v>264</v>
      </c>
      <c r="C106" s="131"/>
      <c r="D106" s="131"/>
      <c r="E106" s="131"/>
      <c r="F106" s="146"/>
      <c r="G106" s="147"/>
      <c r="H106" s="146"/>
      <c r="I106" s="131"/>
      <c r="J106" s="146"/>
      <c r="K106" s="131"/>
      <c r="L106" s="146"/>
      <c r="M106" s="147"/>
      <c r="N106" s="146"/>
      <c r="O106" s="425"/>
      <c r="P106" s="426"/>
      <c r="Q106" s="427"/>
      <c r="R106" s="427"/>
      <c r="S106" s="80"/>
      <c r="T106" s="80"/>
      <c r="U106" s="79"/>
    </row>
    <row r="107" spans="1:21" s="41" customFormat="1" ht="11.45" customHeight="1">
      <c r="A107" s="412"/>
      <c r="B107" s="132"/>
      <c r="C107" s="132"/>
      <c r="D107" s="132"/>
      <c r="E107" s="132"/>
      <c r="F107" s="223"/>
      <c r="G107" s="223"/>
      <c r="H107" s="223"/>
      <c r="I107" s="132"/>
      <c r="J107" s="132"/>
      <c r="K107" s="132"/>
      <c r="L107" s="223"/>
      <c r="M107" s="223"/>
      <c r="N107" s="223"/>
      <c r="O107" s="229"/>
      <c r="P107" s="278"/>
      <c r="Q107" s="59"/>
      <c r="R107" s="53"/>
      <c r="S107" s="54"/>
    </row>
    <row r="108" spans="1:21" s="41" customFormat="1" ht="15" customHeight="1">
      <c r="A108" s="405" t="s">
        <v>198</v>
      </c>
      <c r="B108" s="404"/>
      <c r="C108" s="404"/>
      <c r="D108" s="404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425"/>
      <c r="P108" s="426"/>
      <c r="Q108" s="427"/>
      <c r="R108" s="427"/>
      <c r="S108" s="80"/>
      <c r="T108" s="80"/>
      <c r="U108" s="79"/>
    </row>
    <row r="109" spans="1:21" s="41" customFormat="1" ht="11.45" customHeight="1">
      <c r="A109" s="227"/>
      <c r="B109" s="132"/>
      <c r="C109" s="132"/>
      <c r="D109" s="132"/>
      <c r="E109" s="132"/>
      <c r="F109" s="237"/>
      <c r="G109" s="223"/>
      <c r="H109" s="223"/>
      <c r="I109" s="132"/>
      <c r="J109" s="132"/>
      <c r="K109" s="132"/>
      <c r="L109" s="223"/>
      <c r="M109" s="223"/>
      <c r="N109" s="223"/>
      <c r="O109" s="229"/>
      <c r="P109" s="229"/>
      <c r="Q109" s="59"/>
      <c r="R109" s="51"/>
    </row>
    <row r="110" spans="1:21" s="41" customFormat="1" ht="11.45" customHeight="1" thickBot="1">
      <c r="A110" s="209" t="s">
        <v>109</v>
      </c>
      <c r="B110" s="209"/>
      <c r="C110" s="209"/>
      <c r="D110" s="209"/>
      <c r="E110" s="209"/>
      <c r="F110" s="240"/>
      <c r="G110" s="240"/>
      <c r="H110" s="240"/>
      <c r="I110" s="209"/>
      <c r="J110" s="209"/>
      <c r="K110" s="209"/>
      <c r="L110" s="240"/>
      <c r="M110" s="240"/>
      <c r="N110" s="240"/>
      <c r="O110" s="229"/>
      <c r="P110" s="229"/>
      <c r="Q110" s="59"/>
      <c r="R110" s="59"/>
    </row>
    <row r="111" spans="1:21" s="76" customFormat="1" ht="11.45" customHeight="1">
      <c r="A111" s="210"/>
      <c r="B111" s="210"/>
      <c r="C111" s="210"/>
      <c r="D111" s="210"/>
      <c r="E111" s="210"/>
      <c r="F111" s="540" t="s">
        <v>5</v>
      </c>
      <c r="G111" s="540"/>
      <c r="H111" s="540"/>
      <c r="I111" s="210"/>
      <c r="J111" s="540" t="s">
        <v>20</v>
      </c>
      <c r="K111" s="540"/>
      <c r="L111" s="540"/>
      <c r="M111" s="498"/>
      <c r="N111" s="406"/>
      <c r="O111" s="413"/>
      <c r="P111" s="210"/>
    </row>
    <row r="112" spans="1:21" s="76" customFormat="1" ht="11.45" customHeight="1">
      <c r="A112" s="210"/>
      <c r="B112" s="210"/>
      <c r="C112" s="210"/>
      <c r="D112" s="210"/>
      <c r="E112" s="210"/>
      <c r="F112" s="541" t="s">
        <v>1</v>
      </c>
      <c r="G112" s="541"/>
      <c r="H112" s="541"/>
      <c r="I112" s="210"/>
      <c r="J112" s="541" t="s">
        <v>1</v>
      </c>
      <c r="K112" s="541"/>
      <c r="L112" s="541"/>
      <c r="M112" s="411"/>
      <c r="N112" s="406"/>
      <c r="O112" s="413"/>
      <c r="P112" s="210"/>
    </row>
    <row r="113" spans="1:21" s="41" customFormat="1" ht="11.45" customHeight="1">
      <c r="A113" s="135" t="s">
        <v>103</v>
      </c>
      <c r="B113" s="133"/>
      <c r="C113" s="133"/>
      <c r="D113" s="133"/>
      <c r="E113" s="131"/>
      <c r="F113" s="277">
        <v>2016</v>
      </c>
      <c r="G113" s="214"/>
      <c r="H113" s="215">
        <v>2015</v>
      </c>
      <c r="I113" s="131"/>
      <c r="J113" s="386">
        <v>2016</v>
      </c>
      <c r="K113" s="210"/>
      <c r="L113" s="215">
        <v>2015</v>
      </c>
      <c r="M113" s="214"/>
      <c r="N113" s="418"/>
      <c r="O113" s="418"/>
      <c r="P113" s="418"/>
      <c r="Q113" s="59"/>
      <c r="R113" s="59"/>
    </row>
    <row r="114" spans="1:21" s="41" customFormat="1" ht="11.45" customHeight="1">
      <c r="A114" s="241"/>
      <c r="B114" s="131"/>
      <c r="C114" s="131"/>
      <c r="D114" s="131"/>
      <c r="E114" s="131"/>
      <c r="F114" s="158" t="s">
        <v>0</v>
      </c>
      <c r="G114" s="158"/>
      <c r="H114" s="158"/>
      <c r="I114" s="131"/>
      <c r="J114" s="131"/>
      <c r="K114" s="131"/>
      <c r="L114" s="158"/>
      <c r="M114" s="158"/>
      <c r="N114" s="158"/>
      <c r="O114" s="158"/>
      <c r="P114" s="158"/>
      <c r="Q114" s="59"/>
      <c r="R114" s="59"/>
    </row>
    <row r="115" spans="1:21" s="41" customFormat="1" ht="11.45" customHeight="1">
      <c r="A115" s="132"/>
      <c r="B115" s="132" t="s">
        <v>69</v>
      </c>
      <c r="C115" s="132"/>
      <c r="D115" s="132"/>
      <c r="E115" s="131"/>
      <c r="F115" s="147">
        <f>-23.961+5.962</f>
        <v>-17.998999999999999</v>
      </c>
      <c r="G115" s="147"/>
      <c r="H115" s="147">
        <v>-15</v>
      </c>
      <c r="I115" s="131"/>
      <c r="J115" s="147">
        <f>-48.6+F115</f>
        <v>-66.599000000000004</v>
      </c>
      <c r="K115" s="131"/>
      <c r="L115" s="147">
        <v>-58.2</v>
      </c>
      <c r="M115" s="147"/>
      <c r="N115" s="147"/>
      <c r="O115" s="148"/>
      <c r="P115" s="147"/>
      <c r="Q115" s="438"/>
      <c r="R115" s="59"/>
    </row>
    <row r="116" spans="1:21" s="41" customFormat="1" ht="11.45" customHeight="1">
      <c r="A116" s="132"/>
      <c r="B116" s="132" t="s">
        <v>68</v>
      </c>
      <c r="C116" s="132"/>
      <c r="D116" s="132"/>
      <c r="E116" s="131"/>
      <c r="F116" s="148">
        <v>1.976</v>
      </c>
      <c r="G116" s="147"/>
      <c r="H116" s="148">
        <v>4.9000000000000004</v>
      </c>
      <c r="I116" s="131"/>
      <c r="J116" s="148">
        <f>10.6+F116</f>
        <v>12.576000000000001</v>
      </c>
      <c r="K116" s="147"/>
      <c r="L116" s="148">
        <v>19.600000000000001</v>
      </c>
      <c r="M116" s="147"/>
      <c r="N116" s="147"/>
      <c r="O116" s="249"/>
      <c r="P116" s="147"/>
      <c r="Q116" s="439"/>
      <c r="R116" s="126"/>
    </row>
    <row r="117" spans="1:21" s="41" customFormat="1" ht="11.45" customHeight="1">
      <c r="A117" s="132"/>
      <c r="B117" s="133" t="s">
        <v>67</v>
      </c>
      <c r="C117" s="133"/>
      <c r="D117" s="133"/>
      <c r="E117" s="131"/>
      <c r="F117" s="148">
        <v>1.728</v>
      </c>
      <c r="G117" s="147"/>
      <c r="H117" s="148">
        <v>2.8</v>
      </c>
      <c r="I117" s="131"/>
      <c r="J117" s="148">
        <f>6.2+F117</f>
        <v>7.9279999999999999</v>
      </c>
      <c r="K117" s="148"/>
      <c r="L117" s="148">
        <f>9.1</f>
        <v>9.1</v>
      </c>
      <c r="M117" s="147"/>
      <c r="N117" s="147"/>
      <c r="O117" s="148"/>
      <c r="P117" s="147"/>
      <c r="Q117" s="439"/>
      <c r="R117" s="126"/>
    </row>
    <row r="118" spans="1:21" s="284" customFormat="1" ht="11.45" customHeight="1">
      <c r="A118" s="134"/>
      <c r="B118" s="408" t="s">
        <v>43</v>
      </c>
      <c r="C118" s="408"/>
      <c r="D118" s="408"/>
      <c r="E118" s="130"/>
      <c r="F118" s="149">
        <f>SUM(F115:F117)</f>
        <v>-14.295</v>
      </c>
      <c r="G118" s="145"/>
      <c r="H118" s="149">
        <f>SUM(H115:H117)</f>
        <v>-7.3</v>
      </c>
      <c r="I118" s="130"/>
      <c r="J118" s="149">
        <f>SUM(J115:J117)</f>
        <v>-46.095000000000006</v>
      </c>
      <c r="K118" s="148"/>
      <c r="L118" s="149">
        <f>SUM(L115:L117)</f>
        <v>-29.5</v>
      </c>
      <c r="M118" s="145"/>
      <c r="N118" s="146"/>
      <c r="O118" s="146"/>
      <c r="P118" s="146"/>
      <c r="Q118" s="88"/>
      <c r="R118" s="440"/>
    </row>
    <row r="119" spans="1:21" s="41" customFormat="1" ht="11.45" customHeight="1">
      <c r="A119" s="412"/>
      <c r="B119" s="132"/>
      <c r="C119" s="132"/>
      <c r="D119" s="132"/>
      <c r="E119" s="132"/>
      <c r="F119" s="269"/>
      <c r="G119" s="223"/>
      <c r="H119" s="223"/>
      <c r="I119" s="132"/>
      <c r="J119" s="132"/>
      <c r="K119" s="132"/>
      <c r="L119" s="223"/>
      <c r="M119" s="223"/>
      <c r="N119" s="223"/>
      <c r="O119" s="229"/>
      <c r="P119" s="229"/>
      <c r="Q119" s="53"/>
      <c r="R119" s="126"/>
    </row>
    <row r="120" spans="1:21" s="41" customFormat="1" ht="11.45" customHeight="1">
      <c r="A120" s="131"/>
      <c r="B120" s="131"/>
      <c r="C120" s="131"/>
      <c r="D120" s="131"/>
      <c r="E120" s="132"/>
      <c r="F120" s="225"/>
      <c r="G120" s="223"/>
      <c r="H120" s="224"/>
      <c r="I120" s="132"/>
      <c r="J120" s="132"/>
      <c r="K120" s="132"/>
      <c r="L120" s="224"/>
      <c r="M120" s="223"/>
      <c r="N120" s="224"/>
      <c r="O120" s="224"/>
      <c r="P120" s="224"/>
      <c r="Q120" s="51"/>
      <c r="R120" s="126"/>
    </row>
    <row r="121" spans="1:21" s="41" customFormat="1" ht="15" customHeight="1">
      <c r="A121" s="405" t="s">
        <v>199</v>
      </c>
      <c r="B121" s="404"/>
      <c r="C121" s="404"/>
      <c r="D121" s="404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425"/>
      <c r="P121" s="426"/>
      <c r="Q121" s="427"/>
      <c r="R121" s="427"/>
      <c r="S121" s="80"/>
      <c r="T121" s="80"/>
      <c r="U121" s="79"/>
    </row>
    <row r="122" spans="1:21" s="41" customFormat="1" ht="11.45" customHeight="1">
      <c r="A122" s="227"/>
      <c r="B122" s="132"/>
      <c r="C122" s="132"/>
      <c r="D122" s="132"/>
      <c r="E122" s="132"/>
      <c r="F122" s="237"/>
      <c r="G122" s="223"/>
      <c r="H122" s="223"/>
      <c r="I122" s="132"/>
      <c r="J122" s="132"/>
      <c r="K122" s="132"/>
      <c r="L122" s="223"/>
      <c r="M122" s="223"/>
      <c r="N122" s="223"/>
      <c r="O122" s="229"/>
      <c r="P122" s="229"/>
      <c r="Q122" s="59"/>
      <c r="R122" s="59"/>
    </row>
    <row r="123" spans="1:21" s="41" customFormat="1" ht="11.45" customHeight="1" thickBot="1">
      <c r="A123" s="209" t="s">
        <v>111</v>
      </c>
      <c r="B123" s="209"/>
      <c r="C123" s="209"/>
      <c r="D123" s="209"/>
      <c r="E123" s="209"/>
      <c r="F123" s="240"/>
      <c r="G123" s="240"/>
      <c r="H123" s="240"/>
      <c r="I123" s="209"/>
      <c r="J123" s="209"/>
      <c r="K123" s="209"/>
      <c r="L123" s="240"/>
      <c r="M123" s="240"/>
      <c r="N123" s="240"/>
      <c r="O123" s="229"/>
      <c r="P123" s="229"/>
      <c r="Q123" s="59"/>
      <c r="R123" s="53"/>
      <c r="S123" s="54"/>
      <c r="T123" s="54"/>
    </row>
    <row r="124" spans="1:21" s="76" customFormat="1" ht="11.45" customHeight="1">
      <c r="A124" s="210"/>
      <c r="B124" s="210"/>
      <c r="C124" s="210"/>
      <c r="D124" s="210"/>
      <c r="E124" s="210"/>
      <c r="F124" s="540" t="s">
        <v>5</v>
      </c>
      <c r="G124" s="540"/>
      <c r="H124" s="540"/>
      <c r="I124" s="210"/>
      <c r="J124" s="540" t="s">
        <v>20</v>
      </c>
      <c r="K124" s="540"/>
      <c r="L124" s="540"/>
      <c r="M124" s="466"/>
      <c r="N124" s="406"/>
      <c r="O124" s="413"/>
      <c r="P124" s="210"/>
    </row>
    <row r="125" spans="1:21" s="76" customFormat="1" ht="11.45" customHeight="1">
      <c r="A125" s="210"/>
      <c r="B125" s="210"/>
      <c r="C125" s="210"/>
      <c r="D125" s="210"/>
      <c r="E125" s="210"/>
      <c r="F125" s="541" t="s">
        <v>1</v>
      </c>
      <c r="G125" s="541"/>
      <c r="H125" s="541"/>
      <c r="I125" s="210"/>
      <c r="J125" s="541" t="s">
        <v>1</v>
      </c>
      <c r="K125" s="541"/>
      <c r="L125" s="541"/>
      <c r="M125" s="467"/>
      <c r="N125" s="406"/>
      <c r="O125" s="413"/>
      <c r="P125" s="210"/>
    </row>
    <row r="126" spans="1:21" s="41" customFormat="1" ht="11.45" customHeight="1">
      <c r="A126" s="135" t="s">
        <v>103</v>
      </c>
      <c r="B126" s="133"/>
      <c r="C126" s="133"/>
      <c r="D126" s="133"/>
      <c r="E126" s="131"/>
      <c r="F126" s="277">
        <v>2016</v>
      </c>
      <c r="G126" s="214"/>
      <c r="H126" s="215">
        <v>2015</v>
      </c>
      <c r="I126" s="131"/>
      <c r="J126" s="386">
        <v>2016</v>
      </c>
      <c r="K126" s="210"/>
      <c r="L126" s="215">
        <v>2015</v>
      </c>
      <c r="M126" s="214"/>
      <c r="N126" s="418"/>
      <c r="O126" s="230"/>
      <c r="P126" s="132"/>
      <c r="Q126" s="59"/>
      <c r="R126" s="59"/>
    </row>
    <row r="127" spans="1:21" s="41" customFormat="1" ht="11.45" customHeight="1">
      <c r="A127" s="241"/>
      <c r="B127" s="131"/>
      <c r="C127" s="131"/>
      <c r="D127" s="131"/>
      <c r="E127" s="131"/>
      <c r="F127" s="158" t="s">
        <v>0</v>
      </c>
      <c r="G127" s="158"/>
      <c r="H127" s="158"/>
      <c r="I127" s="131"/>
      <c r="J127" s="131"/>
      <c r="K127" s="131"/>
      <c r="L127" s="158"/>
      <c r="M127" s="158"/>
      <c r="N127" s="158"/>
      <c r="O127" s="230"/>
      <c r="P127" s="132"/>
      <c r="Q127" s="59"/>
      <c r="R127" s="59"/>
    </row>
    <row r="128" spans="1:21" s="41" customFormat="1" ht="11.45" customHeight="1">
      <c r="A128" s="132"/>
      <c r="B128" s="132" t="s">
        <v>66</v>
      </c>
      <c r="C128" s="132"/>
      <c r="D128" s="132"/>
      <c r="E128" s="131"/>
      <c r="F128" s="148">
        <v>0.85699999999999998</v>
      </c>
      <c r="G128" s="147"/>
      <c r="H128" s="148">
        <v>1.3</v>
      </c>
      <c r="I128" s="131"/>
      <c r="J128" s="148">
        <f>2.526+F128</f>
        <v>3.383</v>
      </c>
      <c r="K128" s="131"/>
      <c r="L128" s="148">
        <v>2.7</v>
      </c>
      <c r="M128" s="147"/>
      <c r="N128" s="147"/>
      <c r="O128" s="231"/>
      <c r="P128" s="232"/>
      <c r="Q128" s="125"/>
      <c r="R128" s="59"/>
    </row>
    <row r="129" spans="1:21" s="41" customFormat="1" ht="11.45" customHeight="1">
      <c r="A129" s="132"/>
      <c r="B129" s="494" t="s">
        <v>99</v>
      </c>
      <c r="C129" s="494"/>
      <c r="D129" s="494"/>
      <c r="E129" s="131"/>
      <c r="F129" s="148">
        <v>-6.1870000000000003</v>
      </c>
      <c r="G129" s="147"/>
      <c r="H129" s="148">
        <v>-3.4</v>
      </c>
      <c r="I129" s="131"/>
      <c r="J129" s="148">
        <f>1+F129</f>
        <v>-5.1870000000000003</v>
      </c>
      <c r="K129" s="131"/>
      <c r="L129" s="148">
        <v>-18.5</v>
      </c>
      <c r="M129" s="147"/>
      <c r="N129" s="147"/>
      <c r="O129" s="231"/>
      <c r="P129" s="232"/>
      <c r="Q129" s="125"/>
      <c r="R129" s="419"/>
    </row>
    <row r="130" spans="1:21" s="41" customFormat="1" ht="11.45" customHeight="1">
      <c r="A130" s="132"/>
      <c r="B130" s="132" t="s">
        <v>65</v>
      </c>
      <c r="C130" s="133"/>
      <c r="D130" s="133"/>
      <c r="E130" s="131"/>
      <c r="F130" s="148">
        <f>5.514-5.962</f>
        <v>-0.44799999999999951</v>
      </c>
      <c r="G130" s="147"/>
      <c r="H130" s="148">
        <v>-7.9</v>
      </c>
      <c r="I130" s="131"/>
      <c r="J130" s="148">
        <f>-4.1+F130</f>
        <v>-4.5479999999999992</v>
      </c>
      <c r="K130" s="131"/>
      <c r="L130" s="148">
        <v>-13.7</v>
      </c>
      <c r="M130" s="147"/>
      <c r="N130" s="147"/>
      <c r="O130" s="229"/>
      <c r="P130" s="232"/>
      <c r="Q130" s="125"/>
      <c r="R130" s="126"/>
    </row>
    <row r="131" spans="1:21" s="284" customFormat="1" ht="11.45" customHeight="1">
      <c r="A131" s="134"/>
      <c r="B131" s="134" t="s">
        <v>43</v>
      </c>
      <c r="C131" s="408"/>
      <c r="D131" s="408"/>
      <c r="E131" s="130"/>
      <c r="F131" s="149">
        <f>SUM(F128:F130)</f>
        <v>-5.7779999999999996</v>
      </c>
      <c r="G131" s="145"/>
      <c r="H131" s="149">
        <f>SUM(H128:H130)-0.1</f>
        <v>-10.1</v>
      </c>
      <c r="I131" s="130"/>
      <c r="J131" s="390">
        <f>SUM(J128:J130)</f>
        <v>-6.3519999999999994</v>
      </c>
      <c r="K131" s="130"/>
      <c r="L131" s="149">
        <f>SUM(L128:L130)-0.1</f>
        <v>-29.6</v>
      </c>
      <c r="M131" s="145"/>
      <c r="N131" s="146"/>
      <c r="O131" s="243"/>
      <c r="P131" s="236"/>
      <c r="Q131" s="285"/>
      <c r="R131" s="414"/>
    </row>
    <row r="132" spans="1:21" s="59" customFormat="1" ht="11.45" customHeight="1">
      <c r="A132" s="412"/>
      <c r="B132" s="132"/>
      <c r="C132" s="132"/>
      <c r="D132" s="132"/>
      <c r="E132" s="132"/>
      <c r="F132" s="269"/>
      <c r="G132" s="223"/>
      <c r="H132" s="223"/>
      <c r="I132" s="132"/>
      <c r="J132" s="132"/>
      <c r="K132" s="132"/>
      <c r="L132" s="223"/>
      <c r="M132" s="223"/>
      <c r="N132" s="223"/>
      <c r="O132" s="229"/>
      <c r="P132" s="229"/>
      <c r="Q132" s="52"/>
      <c r="R132" s="52"/>
      <c r="S132" s="52"/>
      <c r="T132" s="52"/>
      <c r="U132" s="53"/>
    </row>
    <row r="133" spans="1:21" s="41" customFormat="1" ht="11.45" customHeight="1">
      <c r="A133" s="412"/>
      <c r="B133" s="132"/>
      <c r="C133" s="132"/>
      <c r="D133" s="132"/>
      <c r="E133" s="132"/>
      <c r="F133" s="269"/>
      <c r="G133" s="223"/>
      <c r="H133" s="223"/>
      <c r="I133" s="132"/>
      <c r="J133" s="132"/>
      <c r="K133" s="132"/>
      <c r="L133" s="223"/>
      <c r="M133" s="223"/>
      <c r="N133" s="223"/>
      <c r="O133" s="229"/>
      <c r="P133" s="229"/>
      <c r="Q133" s="52"/>
      <c r="R133" s="51"/>
      <c r="S133" s="51"/>
    </row>
    <row r="134" spans="1:21" s="41" customFormat="1" ht="15" customHeight="1">
      <c r="A134" s="405" t="s">
        <v>258</v>
      </c>
      <c r="B134" s="404"/>
      <c r="C134" s="404"/>
      <c r="D134" s="404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425"/>
      <c r="P134" s="426"/>
      <c r="Q134" s="427"/>
      <c r="R134" s="427"/>
      <c r="S134" s="80"/>
      <c r="T134" s="80"/>
      <c r="U134" s="79"/>
    </row>
    <row r="135" spans="1:21" s="41" customFormat="1" ht="11.45" customHeight="1">
      <c r="A135" s="227"/>
      <c r="B135" s="132"/>
      <c r="C135" s="132"/>
      <c r="D135" s="132"/>
      <c r="E135" s="132"/>
      <c r="F135" s="237"/>
      <c r="G135" s="223"/>
      <c r="H135" s="223"/>
      <c r="I135" s="132"/>
      <c r="J135" s="132"/>
      <c r="K135" s="132"/>
      <c r="L135" s="223"/>
      <c r="M135" s="223"/>
      <c r="N135" s="223"/>
      <c r="O135" s="229"/>
      <c r="P135" s="229"/>
      <c r="Q135" s="59"/>
      <c r="R135" s="53"/>
      <c r="S135" s="53"/>
    </row>
    <row r="136" spans="1:21" s="41" customFormat="1" ht="11.45" customHeight="1" thickBot="1">
      <c r="A136" s="209" t="s">
        <v>263</v>
      </c>
      <c r="B136" s="209"/>
      <c r="C136" s="209"/>
      <c r="D136" s="209"/>
      <c r="E136" s="209"/>
      <c r="F136" s="240"/>
      <c r="G136" s="240"/>
      <c r="H136" s="240"/>
      <c r="I136" s="209"/>
      <c r="J136" s="209"/>
      <c r="K136" s="209"/>
      <c r="L136" s="240"/>
      <c r="M136" s="240"/>
      <c r="N136" s="240"/>
      <c r="O136" s="229"/>
      <c r="P136" s="229"/>
      <c r="Q136" s="59"/>
      <c r="R136" s="49"/>
    </row>
    <row r="137" spans="1:21" s="76" customFormat="1" ht="11.45" customHeight="1">
      <c r="A137" s="210"/>
      <c r="B137" s="210"/>
      <c r="C137" s="210"/>
      <c r="D137" s="210"/>
      <c r="E137" s="210"/>
      <c r="F137" s="540" t="s">
        <v>5</v>
      </c>
      <c r="G137" s="540"/>
      <c r="H137" s="540"/>
      <c r="I137" s="210"/>
      <c r="J137" s="540" t="s">
        <v>20</v>
      </c>
      <c r="K137" s="540"/>
      <c r="L137" s="540"/>
      <c r="M137" s="466"/>
      <c r="N137" s="406"/>
      <c r="O137" s="413"/>
      <c r="P137" s="210"/>
    </row>
    <row r="138" spans="1:21" s="76" customFormat="1" ht="11.45" customHeight="1">
      <c r="A138" s="210"/>
      <c r="B138" s="210"/>
      <c r="C138" s="210"/>
      <c r="D138" s="210"/>
      <c r="E138" s="210"/>
      <c r="F138" s="541" t="s">
        <v>1</v>
      </c>
      <c r="G138" s="541"/>
      <c r="H138" s="541"/>
      <c r="I138" s="210"/>
      <c r="J138" s="541" t="s">
        <v>1</v>
      </c>
      <c r="K138" s="541"/>
      <c r="L138" s="541"/>
      <c r="M138" s="467"/>
      <c r="N138" s="406"/>
      <c r="O138" s="413"/>
      <c r="P138" s="210"/>
    </row>
    <row r="139" spans="1:21" s="41" customFormat="1" ht="11.45" customHeight="1">
      <c r="A139" s="135" t="s">
        <v>103</v>
      </c>
      <c r="B139" s="133"/>
      <c r="C139" s="133"/>
      <c r="D139" s="133"/>
      <c r="E139" s="131"/>
      <c r="F139" s="277">
        <v>2016</v>
      </c>
      <c r="G139" s="214"/>
      <c r="H139" s="215">
        <v>2015</v>
      </c>
      <c r="I139" s="131"/>
      <c r="J139" s="386">
        <v>2016</v>
      </c>
      <c r="K139" s="210"/>
      <c r="L139" s="215">
        <v>2015</v>
      </c>
      <c r="M139" s="214"/>
      <c r="N139" s="418"/>
      <c r="O139" s="230"/>
      <c r="P139" s="132"/>
      <c r="Q139" s="59"/>
      <c r="R139" s="53"/>
    </row>
    <row r="140" spans="1:21" s="41" customFormat="1" ht="11.45" customHeight="1">
      <c r="A140" s="241"/>
      <c r="B140" s="131"/>
      <c r="C140" s="131"/>
      <c r="D140" s="131"/>
      <c r="E140" s="131"/>
      <c r="F140" s="158" t="s">
        <v>0</v>
      </c>
      <c r="G140" s="158"/>
      <c r="H140" s="158"/>
      <c r="I140" s="131"/>
      <c r="J140" s="131"/>
      <c r="K140" s="131"/>
      <c r="L140" s="158"/>
      <c r="M140" s="158"/>
      <c r="N140" s="158"/>
      <c r="O140" s="230"/>
      <c r="P140" s="132"/>
      <c r="Q140" s="59"/>
      <c r="R140" s="53"/>
    </row>
    <row r="141" spans="1:21" s="41" customFormat="1" ht="11.45" customHeight="1">
      <c r="A141" s="132"/>
      <c r="B141" s="132" t="s">
        <v>260</v>
      </c>
      <c r="C141" s="132"/>
      <c r="D141" s="132"/>
      <c r="E141" s="131"/>
      <c r="F141" s="148">
        <v>-0.4</v>
      </c>
      <c r="G141" s="147"/>
      <c r="H141" s="148">
        <v>0.1</v>
      </c>
      <c r="I141" s="131"/>
      <c r="J141" s="148">
        <f>-6.275</f>
        <v>-6.2750000000000004</v>
      </c>
      <c r="K141" s="131"/>
      <c r="L141" s="148">
        <v>-19.600000000000001</v>
      </c>
      <c r="M141" s="147"/>
      <c r="N141" s="147"/>
      <c r="O141" s="393"/>
      <c r="P141" s="232"/>
      <c r="Q141" s="125"/>
      <c r="R141" s="53"/>
    </row>
    <row r="142" spans="1:21" s="41" customFormat="1" ht="11.45" customHeight="1">
      <c r="A142" s="132"/>
      <c r="B142" s="187" t="s">
        <v>259</v>
      </c>
      <c r="C142" s="187"/>
      <c r="D142" s="187"/>
      <c r="E142" s="131"/>
      <c r="F142" s="148">
        <f>-35.0757-1.916</f>
        <v>-36.991699999999994</v>
      </c>
      <c r="G142" s="147"/>
      <c r="H142" s="148">
        <v>22.4</v>
      </c>
      <c r="I142" s="131"/>
      <c r="J142" s="148">
        <f>-24.893</f>
        <v>-24.893000000000001</v>
      </c>
      <c r="K142" s="131"/>
      <c r="L142" s="148">
        <v>-2.8</v>
      </c>
      <c r="M142" s="147"/>
      <c r="N142" s="147"/>
      <c r="O142" s="131"/>
      <c r="P142" s="233"/>
      <c r="Q142" s="125"/>
      <c r="R142" s="52"/>
    </row>
    <row r="143" spans="1:21" s="284" customFormat="1" ht="11.45" customHeight="1">
      <c r="A143" s="134"/>
      <c r="B143" s="408" t="s">
        <v>43</v>
      </c>
      <c r="C143" s="408"/>
      <c r="D143" s="408"/>
      <c r="E143" s="130"/>
      <c r="F143" s="149">
        <f>SUM(F141:F142)</f>
        <v>-37.391699999999993</v>
      </c>
      <c r="G143" s="145"/>
      <c r="H143" s="149">
        <f>SUM(H141:H142)</f>
        <v>22.5</v>
      </c>
      <c r="I143" s="130"/>
      <c r="J143" s="390">
        <f>SUM(J141:J142)</f>
        <v>-31.167999999999999</v>
      </c>
      <c r="K143" s="130"/>
      <c r="L143" s="149">
        <f>SUM(L141:L142)</f>
        <v>-22.400000000000002</v>
      </c>
      <c r="M143" s="145"/>
      <c r="N143" s="146"/>
      <c r="O143" s="243"/>
      <c r="P143" s="236"/>
      <c r="Q143" s="285"/>
      <c r="R143" s="70"/>
    </row>
    <row r="144" spans="1:21" s="41" customFormat="1" ht="11.45" customHeight="1">
      <c r="A144" s="412"/>
      <c r="B144" s="132"/>
      <c r="C144" s="132"/>
      <c r="D144" s="132"/>
      <c r="E144" s="132"/>
      <c r="F144" s="269"/>
      <c r="G144" s="223"/>
      <c r="H144" s="223"/>
      <c r="I144" s="132"/>
      <c r="J144" s="132"/>
      <c r="K144" s="132"/>
      <c r="L144" s="223"/>
      <c r="M144" s="223"/>
      <c r="N144" s="223"/>
      <c r="O144" s="229"/>
      <c r="P144" s="229"/>
      <c r="Q144" s="52"/>
      <c r="R144" s="51"/>
      <c r="S144" s="51"/>
    </row>
    <row r="145" spans="1:21" s="41" customFormat="1" ht="11.45" customHeight="1">
      <c r="A145" s="131"/>
      <c r="B145" s="131"/>
      <c r="C145" s="131"/>
      <c r="D145" s="131"/>
      <c r="E145" s="132"/>
      <c r="F145" s="225"/>
      <c r="G145" s="223"/>
      <c r="H145" s="224"/>
      <c r="I145" s="132"/>
      <c r="J145" s="132"/>
      <c r="K145" s="132"/>
      <c r="L145" s="224"/>
      <c r="M145" s="223"/>
      <c r="N145" s="224"/>
      <c r="O145" s="224"/>
      <c r="P145" s="132"/>
      <c r="Q145" s="102"/>
      <c r="R145" s="53"/>
    </row>
    <row r="146" spans="1:21" s="41" customFormat="1" ht="15" customHeight="1">
      <c r="A146" s="405" t="s">
        <v>200</v>
      </c>
      <c r="B146" s="404"/>
      <c r="C146" s="404"/>
      <c r="D146" s="404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425"/>
      <c r="P146" s="426"/>
      <c r="Q146" s="427"/>
      <c r="R146" s="427"/>
      <c r="S146" s="80"/>
      <c r="T146" s="80"/>
      <c r="U146" s="79"/>
    </row>
    <row r="147" spans="1:21" s="41" customFormat="1" ht="11.45" customHeight="1">
      <c r="A147" s="227"/>
      <c r="B147" s="132"/>
      <c r="C147" s="132"/>
      <c r="D147" s="132"/>
      <c r="E147" s="132"/>
      <c r="F147" s="237"/>
      <c r="G147" s="223"/>
      <c r="H147" s="223"/>
      <c r="I147" s="132"/>
      <c r="J147" s="132"/>
      <c r="K147" s="132"/>
      <c r="L147" s="223"/>
      <c r="M147" s="223"/>
      <c r="N147" s="223"/>
      <c r="O147" s="229"/>
      <c r="P147" s="229"/>
      <c r="Q147" s="59"/>
      <c r="R147" s="53"/>
    </row>
    <row r="148" spans="1:21" s="41" customFormat="1" ht="11.45" customHeight="1" thickBot="1">
      <c r="A148" s="209" t="s">
        <v>216</v>
      </c>
      <c r="B148" s="209"/>
      <c r="C148" s="209"/>
      <c r="D148" s="209"/>
      <c r="E148" s="209"/>
      <c r="F148" s="240"/>
      <c r="G148" s="240"/>
      <c r="H148" s="240"/>
      <c r="I148" s="209"/>
      <c r="J148" s="209"/>
      <c r="K148" s="209"/>
      <c r="L148" s="240"/>
      <c r="M148" s="240"/>
      <c r="N148" s="240"/>
      <c r="O148" s="229"/>
      <c r="P148" s="229"/>
      <c r="Q148" s="102"/>
      <c r="R148" s="53"/>
    </row>
    <row r="149" spans="1:21" s="76" customFormat="1" ht="11.45" customHeight="1">
      <c r="A149" s="210"/>
      <c r="B149" s="210"/>
      <c r="C149" s="210"/>
      <c r="D149" s="210"/>
      <c r="E149" s="210"/>
      <c r="F149" s="540" t="s">
        <v>5</v>
      </c>
      <c r="G149" s="540"/>
      <c r="H149" s="540"/>
      <c r="I149" s="210"/>
      <c r="J149" s="540" t="s">
        <v>20</v>
      </c>
      <c r="K149" s="540"/>
      <c r="L149" s="540"/>
      <c r="M149" s="466"/>
      <c r="N149" s="406"/>
      <c r="O149" s="413"/>
      <c r="P149" s="210"/>
    </row>
    <row r="150" spans="1:21" s="76" customFormat="1" ht="11.45" customHeight="1">
      <c r="A150" s="210"/>
      <c r="B150" s="210"/>
      <c r="C150" s="210"/>
      <c r="D150" s="210"/>
      <c r="E150" s="210"/>
      <c r="F150" s="541" t="s">
        <v>1</v>
      </c>
      <c r="G150" s="541"/>
      <c r="H150" s="541"/>
      <c r="I150" s="210"/>
      <c r="J150" s="541" t="s">
        <v>1</v>
      </c>
      <c r="K150" s="541"/>
      <c r="L150" s="541"/>
      <c r="M150" s="467"/>
      <c r="N150" s="406"/>
      <c r="O150" s="413"/>
      <c r="P150" s="210"/>
    </row>
    <row r="151" spans="1:21" s="41" customFormat="1" ht="11.45" customHeight="1">
      <c r="A151" s="135" t="s">
        <v>103</v>
      </c>
      <c r="B151" s="133"/>
      <c r="C151" s="133"/>
      <c r="D151" s="133"/>
      <c r="E151" s="132"/>
      <c r="F151" s="277">
        <v>2016</v>
      </c>
      <c r="G151" s="214"/>
      <c r="H151" s="215">
        <v>2015</v>
      </c>
      <c r="I151" s="132"/>
      <c r="J151" s="386">
        <v>2016</v>
      </c>
      <c r="K151" s="210"/>
      <c r="L151" s="215">
        <v>2015</v>
      </c>
      <c r="M151" s="214"/>
      <c r="N151" s="418"/>
      <c r="O151" s="132"/>
      <c r="P151" s="132"/>
      <c r="Q151" s="88"/>
      <c r="R151" s="59"/>
    </row>
    <row r="152" spans="1:21" s="41" customFormat="1" ht="11.45" customHeight="1">
      <c r="A152" s="241"/>
      <c r="B152" s="131"/>
      <c r="C152" s="131"/>
      <c r="D152" s="131"/>
      <c r="E152" s="132"/>
      <c r="F152" s="158"/>
      <c r="G152" s="158"/>
      <c r="H152" s="158"/>
      <c r="I152" s="132"/>
      <c r="J152" s="132"/>
      <c r="K152" s="132"/>
      <c r="L152" s="158"/>
      <c r="M152" s="158"/>
      <c r="N152" s="158"/>
      <c r="O152" s="132"/>
      <c r="P152" s="132"/>
      <c r="Q152" s="437"/>
      <c r="R152" s="59"/>
    </row>
    <row r="153" spans="1:21" s="41" customFormat="1" ht="11.45" customHeight="1">
      <c r="A153" s="132"/>
      <c r="B153" s="132" t="s">
        <v>133</v>
      </c>
      <c r="C153" s="132"/>
      <c r="D153" s="132"/>
      <c r="E153" s="132"/>
      <c r="F153" s="148">
        <v>13.3</v>
      </c>
      <c r="G153" s="147"/>
      <c r="H153" s="148">
        <v>6.4</v>
      </c>
      <c r="I153" s="132"/>
      <c r="J153" s="148">
        <f>5.6+F153</f>
        <v>18.899999999999999</v>
      </c>
      <c r="K153" s="132"/>
      <c r="L153" s="148">
        <v>17.600000000000001</v>
      </c>
      <c r="M153" s="147"/>
      <c r="N153" s="147"/>
      <c r="O153" s="231"/>
      <c r="P153" s="231"/>
      <c r="Q153" s="419"/>
      <c r="R153" s="59"/>
    </row>
    <row r="154" spans="1:21" s="41" customFormat="1" ht="11.45" customHeight="1">
      <c r="A154" s="132"/>
      <c r="B154" s="494" t="s">
        <v>134</v>
      </c>
      <c r="C154" s="494"/>
      <c r="D154" s="494"/>
      <c r="E154" s="132"/>
      <c r="F154" s="148">
        <v>5.7</v>
      </c>
      <c r="G154" s="147"/>
      <c r="H154" s="148">
        <v>0</v>
      </c>
      <c r="I154" s="132"/>
      <c r="J154" s="148">
        <f>14.4+F154</f>
        <v>20.100000000000001</v>
      </c>
      <c r="K154" s="132"/>
      <c r="L154" s="148">
        <v>10.9</v>
      </c>
      <c r="M154" s="147"/>
      <c r="N154" s="147"/>
      <c r="O154" s="441"/>
      <c r="P154" s="234"/>
      <c r="Q154" s="419"/>
      <c r="R154" s="59"/>
    </row>
    <row r="155" spans="1:21" s="41" customFormat="1" ht="11.45" customHeight="1">
      <c r="A155" s="132"/>
      <c r="B155" s="494" t="s">
        <v>135</v>
      </c>
      <c r="C155" s="494"/>
      <c r="D155" s="494"/>
      <c r="E155" s="132"/>
      <c r="F155" s="148">
        <v>1.589</v>
      </c>
      <c r="G155" s="147"/>
      <c r="H155" s="148">
        <v>0.9</v>
      </c>
      <c r="I155" s="132"/>
      <c r="J155" s="148">
        <f>11.2+F155</f>
        <v>12.789</v>
      </c>
      <c r="K155" s="132"/>
      <c r="L155" s="148">
        <v>5.3</v>
      </c>
      <c r="M155" s="147"/>
      <c r="N155" s="147"/>
      <c r="O155" s="234"/>
      <c r="P155" s="234"/>
      <c r="Q155" s="419"/>
      <c r="R155" s="59"/>
    </row>
    <row r="156" spans="1:21" s="41" customFormat="1" ht="11.45" customHeight="1">
      <c r="A156" s="132"/>
      <c r="B156" s="494" t="s">
        <v>136</v>
      </c>
      <c r="C156" s="494"/>
      <c r="D156" s="494"/>
      <c r="E156" s="132"/>
      <c r="F156" s="148">
        <v>7.5</v>
      </c>
      <c r="G156" s="147"/>
      <c r="H156" s="148">
        <v>33.1</v>
      </c>
      <c r="I156" s="132"/>
      <c r="J156" s="148">
        <f>146.9+F156</f>
        <v>154.4</v>
      </c>
      <c r="K156" s="132"/>
      <c r="L156" s="148">
        <v>116.6</v>
      </c>
      <c r="M156" s="147"/>
      <c r="N156" s="147"/>
      <c r="O156" s="234"/>
      <c r="P156" s="234"/>
      <c r="Q156" s="419"/>
      <c r="R156" s="59"/>
    </row>
    <row r="157" spans="1:21" s="41" customFormat="1" ht="11.45" customHeight="1">
      <c r="A157" s="133"/>
      <c r="B157" s="187" t="s">
        <v>137</v>
      </c>
      <c r="C157" s="187"/>
      <c r="D157" s="187"/>
      <c r="E157" s="133"/>
      <c r="F157" s="188">
        <v>0.6</v>
      </c>
      <c r="G157" s="148"/>
      <c r="H157" s="188">
        <v>1.3</v>
      </c>
      <c r="I157" s="131"/>
      <c r="J157" s="188">
        <f>1.8+F157</f>
        <v>2.4</v>
      </c>
      <c r="K157" s="131"/>
      <c r="L157" s="188">
        <v>15.3</v>
      </c>
      <c r="M157" s="147"/>
      <c r="N157" s="147"/>
      <c r="O157" s="234"/>
      <c r="P157" s="234"/>
      <c r="Q157" s="89"/>
      <c r="R157" s="59"/>
    </row>
    <row r="158" spans="1:21" s="284" customFormat="1" ht="11.45" customHeight="1">
      <c r="A158" s="130"/>
      <c r="B158" s="130" t="s">
        <v>220</v>
      </c>
      <c r="C158" s="130"/>
      <c r="D158" s="130"/>
      <c r="E158" s="130"/>
      <c r="F158" s="146">
        <f>SUM(F153:F157)</f>
        <v>28.689</v>
      </c>
      <c r="G158" s="146"/>
      <c r="H158" s="146">
        <f>SUM(H153:H157)</f>
        <v>41.7</v>
      </c>
      <c r="I158" s="130"/>
      <c r="J158" s="495">
        <f>SUM(J153:J157)</f>
        <v>208.58900000000003</v>
      </c>
      <c r="K158" s="130"/>
      <c r="L158" s="146">
        <f>SUM(L153:L157)</f>
        <v>165.7</v>
      </c>
      <c r="M158" s="146"/>
      <c r="N158" s="146"/>
      <c r="O158" s="283"/>
      <c r="P158" s="283"/>
      <c r="Q158" s="118"/>
      <c r="R158" s="414"/>
      <c r="S158" s="58"/>
    </row>
    <row r="159" spans="1:21" s="41" customFormat="1" ht="11.45" customHeight="1">
      <c r="A159" s="132"/>
      <c r="B159" s="132" t="s">
        <v>242</v>
      </c>
      <c r="C159" s="496"/>
      <c r="D159" s="496"/>
      <c r="E159" s="132"/>
      <c r="F159" s="148">
        <f>-1.6-1.181</f>
        <v>-2.7810000000000001</v>
      </c>
      <c r="G159" s="148"/>
      <c r="H159" s="148">
        <v>5.5</v>
      </c>
      <c r="I159" s="131"/>
      <c r="J159" s="148">
        <f>12.4+F159</f>
        <v>9.6189999999999998</v>
      </c>
      <c r="K159" s="131"/>
      <c r="L159" s="148">
        <v>-1.7</v>
      </c>
      <c r="M159" s="147"/>
      <c r="N159" s="146"/>
      <c r="O159" s="229"/>
      <c r="P159" s="236"/>
      <c r="Q159" s="49"/>
      <c r="R159" s="59"/>
      <c r="T159" s="39"/>
    </row>
    <row r="160" spans="1:21" s="41" customFormat="1" ht="11.45" customHeight="1">
      <c r="A160" s="410"/>
      <c r="B160" s="282" t="s">
        <v>217</v>
      </c>
      <c r="C160" s="497"/>
      <c r="D160" s="497"/>
      <c r="E160" s="410"/>
      <c r="F160" s="149">
        <f>SUM(F158:F159)</f>
        <v>25.908000000000001</v>
      </c>
      <c r="G160" s="148"/>
      <c r="H160" s="149">
        <f>SUM(H158:H159)</f>
        <v>47.2</v>
      </c>
      <c r="I160" s="131"/>
      <c r="J160" s="149">
        <f>SUM(J158:J159)</f>
        <v>218.20800000000003</v>
      </c>
      <c r="K160" s="131"/>
      <c r="L160" s="149">
        <f>SUM(L158:L159)</f>
        <v>164</v>
      </c>
      <c r="M160" s="147"/>
      <c r="N160" s="146"/>
      <c r="O160" s="229"/>
      <c r="P160" s="236"/>
      <c r="Q160" s="49"/>
      <c r="R160" s="59"/>
      <c r="T160" s="39"/>
    </row>
    <row r="161" spans="1:21" s="41" customFormat="1" ht="11.45" customHeight="1">
      <c r="A161" s="132"/>
      <c r="B161" s="131"/>
      <c r="C161" s="131"/>
      <c r="D161" s="131"/>
      <c r="E161" s="132"/>
      <c r="F161" s="146"/>
      <c r="G161" s="147"/>
      <c r="H161" s="146"/>
      <c r="I161" s="132"/>
      <c r="J161" s="132"/>
      <c r="K161" s="132"/>
      <c r="L161" s="146"/>
      <c r="M161" s="147"/>
      <c r="N161" s="146"/>
      <c r="O161" s="229"/>
      <c r="P161" s="236"/>
      <c r="Q161" s="49"/>
      <c r="R161" s="59"/>
      <c r="T161" s="39"/>
    </row>
    <row r="162" spans="1:21" s="41" customFormat="1" ht="15" customHeight="1">
      <c r="A162" s="405" t="s">
        <v>201</v>
      </c>
      <c r="B162" s="404"/>
      <c r="C162" s="404"/>
      <c r="D162" s="404"/>
      <c r="E162" s="207"/>
      <c r="F162" s="207" t="s">
        <v>0</v>
      </c>
      <c r="G162" s="207"/>
      <c r="H162" s="207" t="s">
        <v>0</v>
      </c>
      <c r="I162" s="207"/>
      <c r="J162" s="207"/>
      <c r="K162" s="207"/>
      <c r="L162" s="207" t="s">
        <v>0</v>
      </c>
      <c r="M162" s="207"/>
      <c r="N162" s="207"/>
      <c r="O162" s="425"/>
      <c r="P162" s="426"/>
      <c r="Q162" s="427"/>
      <c r="R162" s="427"/>
      <c r="S162" s="80"/>
      <c r="T162" s="80"/>
      <c r="U162" s="79"/>
    </row>
    <row r="163" spans="1:21" s="41" customFormat="1" ht="11.45" customHeight="1">
      <c r="A163" s="227"/>
      <c r="B163" s="132"/>
      <c r="C163" s="132"/>
      <c r="D163" s="132"/>
      <c r="E163" s="211"/>
      <c r="F163" s="237"/>
      <c r="G163" s="238"/>
      <c r="H163" s="237"/>
      <c r="I163" s="211"/>
      <c r="J163" s="211"/>
      <c r="K163" s="211"/>
      <c r="L163" s="237"/>
      <c r="M163" s="238"/>
      <c r="N163" s="237"/>
      <c r="O163" s="239"/>
      <c r="P163" s="132"/>
      <c r="Q163" s="76"/>
      <c r="R163" s="59"/>
      <c r="T163" s="39"/>
    </row>
    <row r="164" spans="1:21" s="41" customFormat="1" ht="13.5" thickBot="1">
      <c r="A164" s="209" t="s">
        <v>64</v>
      </c>
      <c r="B164" s="209"/>
      <c r="C164" s="209"/>
      <c r="D164" s="209"/>
      <c r="E164" s="209"/>
      <c r="F164" s="240"/>
      <c r="G164" s="240"/>
      <c r="H164" s="240"/>
      <c r="I164" s="240"/>
      <c r="J164" s="229"/>
      <c r="K164" s="229"/>
      <c r="L164" s="132"/>
      <c r="M164" s="229"/>
      <c r="N164" s="132"/>
      <c r="O164" s="53"/>
      <c r="P164" s="59"/>
      <c r="Q164" s="49"/>
      <c r="R164" s="59"/>
    </row>
    <row r="165" spans="1:21" s="76" customFormat="1" ht="12.75" customHeight="1">
      <c r="A165" s="210"/>
      <c r="B165" s="210"/>
      <c r="C165" s="210"/>
      <c r="D165" s="210"/>
      <c r="E165" s="210"/>
      <c r="F165" s="542" t="s">
        <v>1</v>
      </c>
      <c r="G165" s="542"/>
      <c r="H165" s="542"/>
      <c r="J165" s="513"/>
      <c r="M165" s="413"/>
      <c r="N165" s="210"/>
    </row>
    <row r="166" spans="1:21" s="41" customFormat="1">
      <c r="A166" s="135" t="s">
        <v>103</v>
      </c>
      <c r="B166" s="133"/>
      <c r="C166" s="133"/>
      <c r="D166" s="133"/>
      <c r="E166" s="132"/>
      <c r="F166" s="277">
        <v>2016</v>
      </c>
      <c r="G166" s="131"/>
      <c r="H166" s="277">
        <v>2015</v>
      </c>
      <c r="I166" s="516"/>
      <c r="J166" s="452"/>
      <c r="K166" s="132"/>
      <c r="L166" s="132" t="s">
        <v>0</v>
      </c>
      <c r="M166" s="59"/>
      <c r="N166" s="419"/>
      <c r="O166" s="59"/>
      <c r="P166" s="53"/>
      <c r="Q166" s="59"/>
    </row>
    <row r="167" spans="1:21" s="41" customFormat="1" ht="11.45" customHeight="1">
      <c r="A167" s="132"/>
      <c r="B167" s="132" t="s">
        <v>63</v>
      </c>
      <c r="C167" s="132"/>
      <c r="D167" s="132"/>
      <c r="E167" s="132"/>
      <c r="F167" s="147"/>
      <c r="G167" s="147"/>
      <c r="H167" s="147">
        <v>10.8</v>
      </c>
      <c r="I167" s="59"/>
      <c r="J167" s="59"/>
      <c r="K167" s="147"/>
      <c r="L167" s="147"/>
      <c r="M167" s="229"/>
      <c r="N167" s="222"/>
      <c r="O167" s="229"/>
      <c r="P167" s="52"/>
      <c r="Q167" s="59"/>
    </row>
    <row r="168" spans="1:21" s="41" customFormat="1" ht="11.45" customHeight="1">
      <c r="A168" s="132"/>
      <c r="B168" s="132" t="s">
        <v>88</v>
      </c>
      <c r="C168" s="132"/>
      <c r="D168" s="132"/>
      <c r="E168" s="132"/>
      <c r="F168" s="147">
        <v>9.3000000000000007</v>
      </c>
      <c r="G168" s="147"/>
      <c r="H168" s="147">
        <v>19.100000000000001</v>
      </c>
      <c r="I168" s="59"/>
      <c r="J168" s="59"/>
      <c r="K168" s="147"/>
      <c r="L168" s="147"/>
      <c r="M168" s="229"/>
      <c r="N168" s="222"/>
      <c r="O168" s="229"/>
      <c r="P168" s="52"/>
      <c r="Q168" s="59"/>
    </row>
    <row r="169" spans="1:21" s="41" customFormat="1" ht="11.45" customHeight="1">
      <c r="A169" s="132"/>
      <c r="B169" s="132" t="s">
        <v>102</v>
      </c>
      <c r="C169" s="132"/>
      <c r="D169" s="132"/>
      <c r="E169" s="132"/>
      <c r="F169" s="147">
        <v>16.600000000000001</v>
      </c>
      <c r="G169" s="147"/>
      <c r="H169" s="147">
        <v>25.9</v>
      </c>
      <c r="I169" s="59"/>
      <c r="J169" s="59"/>
      <c r="K169" s="147"/>
      <c r="L169" s="147"/>
      <c r="M169" s="229"/>
      <c r="N169" s="222"/>
      <c r="O169" s="229"/>
      <c r="P169" s="52"/>
      <c r="Q169" s="59"/>
    </row>
    <row r="170" spans="1:21" s="41" customFormat="1" ht="11.45" customHeight="1">
      <c r="A170" s="132"/>
      <c r="B170" s="132" t="s">
        <v>191</v>
      </c>
      <c r="C170" s="132"/>
      <c r="D170" s="132"/>
      <c r="E170" s="132"/>
      <c r="F170" s="147">
        <v>61.2</v>
      </c>
      <c r="G170" s="147"/>
      <c r="H170" s="147">
        <v>91.5</v>
      </c>
      <c r="I170" s="59"/>
      <c r="J170" s="59"/>
      <c r="K170" s="190"/>
      <c r="L170" s="147"/>
      <c r="M170" s="229"/>
      <c r="N170" s="222"/>
      <c r="O170" s="229"/>
      <c r="P170" s="52"/>
      <c r="Q170" s="59"/>
    </row>
    <row r="171" spans="1:21" s="41" customFormat="1" ht="11.45" customHeight="1">
      <c r="A171" s="131"/>
      <c r="B171" s="131" t="s">
        <v>172</v>
      </c>
      <c r="C171" s="131"/>
      <c r="D171" s="131"/>
      <c r="E171" s="132"/>
      <c r="F171" s="147">
        <v>117.1</v>
      </c>
      <c r="G171" s="147"/>
      <c r="H171" s="147">
        <v>175.7</v>
      </c>
      <c r="I171" s="59"/>
      <c r="J171" s="59"/>
      <c r="K171" s="147"/>
      <c r="L171" s="147"/>
      <c r="M171" s="229"/>
      <c r="N171" s="222"/>
      <c r="O171" s="229"/>
      <c r="P171" s="52"/>
      <c r="Q171" s="59"/>
    </row>
    <row r="172" spans="1:21" s="41" customFormat="1" ht="11.45" customHeight="1">
      <c r="A172" s="133"/>
      <c r="B172" s="133" t="s">
        <v>196</v>
      </c>
      <c r="C172" s="133"/>
      <c r="D172" s="133"/>
      <c r="E172" s="132"/>
      <c r="F172" s="188">
        <v>303.39999999999998</v>
      </c>
      <c r="G172" s="147"/>
      <c r="H172" s="188">
        <v>0</v>
      </c>
      <c r="I172" s="59"/>
      <c r="J172" s="59"/>
      <c r="K172" s="147"/>
      <c r="L172" s="147"/>
      <c r="M172" s="229"/>
      <c r="N172" s="222"/>
      <c r="O172" s="229"/>
      <c r="P172" s="52"/>
      <c r="Q172" s="59"/>
    </row>
    <row r="173" spans="1:21" s="41" customFormat="1" ht="11.45" customHeight="1">
      <c r="A173" s="132"/>
      <c r="B173" s="132" t="s">
        <v>62</v>
      </c>
      <c r="C173" s="132"/>
      <c r="D173" s="132"/>
      <c r="E173" s="132"/>
      <c r="F173" s="147">
        <f>SUM(F167:F172)</f>
        <v>507.59999999999997</v>
      </c>
      <c r="G173" s="147"/>
      <c r="H173" s="147">
        <f>SUM(H167:H171)+0.1</f>
        <v>323.10000000000002</v>
      </c>
      <c r="I173" s="59"/>
      <c r="J173" s="59"/>
      <c r="K173" s="147"/>
      <c r="L173" s="147"/>
      <c r="M173" s="229"/>
      <c r="N173" s="222"/>
      <c r="O173" s="229"/>
      <c r="P173" s="52"/>
      <c r="Q173" s="59"/>
    </row>
    <row r="174" spans="1:21" s="41" customFormat="1" ht="11.45" customHeight="1">
      <c r="A174" s="132"/>
      <c r="B174" s="132" t="s">
        <v>61</v>
      </c>
      <c r="C174" s="132"/>
      <c r="D174" s="132"/>
      <c r="E174" s="132"/>
      <c r="F174" s="147">
        <v>140.1</v>
      </c>
      <c r="G174" s="147"/>
      <c r="H174" s="147">
        <v>371.9</v>
      </c>
      <c r="I174" s="59"/>
      <c r="J174" s="59"/>
      <c r="K174" s="147"/>
      <c r="L174" s="147"/>
      <c r="M174" s="229"/>
      <c r="N174" s="222"/>
      <c r="O174" s="229"/>
      <c r="P174" s="52"/>
      <c r="Q174" s="59"/>
    </row>
    <row r="175" spans="1:21" s="284" customFormat="1" ht="11.45" customHeight="1">
      <c r="A175" s="134"/>
      <c r="B175" s="134" t="s">
        <v>60</v>
      </c>
      <c r="C175" s="134"/>
      <c r="D175" s="134"/>
      <c r="E175" s="283"/>
      <c r="F175" s="149">
        <f>SUM(F173:F174)</f>
        <v>647.69999999999993</v>
      </c>
      <c r="G175" s="145"/>
      <c r="H175" s="149">
        <f>SUM(H173:H174)</f>
        <v>695</v>
      </c>
      <c r="I175" s="414"/>
      <c r="J175" s="414"/>
      <c r="K175" s="145"/>
      <c r="L175" s="145"/>
      <c r="M175" s="243"/>
      <c r="N175" s="257"/>
      <c r="O175" s="243"/>
      <c r="P175" s="70"/>
      <c r="Q175" s="414"/>
    </row>
    <row r="176" spans="1:21" s="41" customFormat="1" ht="11.45" customHeight="1">
      <c r="A176" s="131"/>
      <c r="B176" s="241" t="s">
        <v>0</v>
      </c>
      <c r="C176" s="131"/>
      <c r="D176" s="131"/>
      <c r="E176" s="132"/>
      <c r="F176" s="224"/>
      <c r="G176" s="223"/>
      <c r="H176" s="224"/>
      <c r="I176" s="132"/>
      <c r="J176" s="132"/>
      <c r="K176" s="132"/>
      <c r="L176" s="224"/>
      <c r="M176" s="223"/>
      <c r="N176" s="224"/>
      <c r="O176" s="224"/>
      <c r="P176" s="222"/>
      <c r="Q176" s="52"/>
      <c r="R176" s="52"/>
      <c r="S176" s="52"/>
      <c r="T176" s="52"/>
    </row>
    <row r="177" spans="1:20" s="41" customFormat="1" ht="11.45" customHeight="1">
      <c r="A177" s="132"/>
      <c r="B177" s="415"/>
      <c r="C177" s="415"/>
      <c r="D177" s="415"/>
      <c r="E177" s="132"/>
      <c r="F177" s="223"/>
      <c r="G177" s="223"/>
      <c r="H177" s="223"/>
      <c r="I177" s="132"/>
      <c r="J177" s="132"/>
      <c r="K177" s="132"/>
      <c r="L177" s="223"/>
      <c r="M177" s="223"/>
      <c r="N177" s="223"/>
      <c r="O177" s="229"/>
      <c r="P177" s="223"/>
      <c r="Q177" s="52"/>
      <c r="R177" s="52"/>
      <c r="S177" s="52"/>
      <c r="T177" s="52"/>
    </row>
    <row r="178" spans="1:20" s="41" customFormat="1" ht="11.45" customHeight="1" thickBot="1">
      <c r="A178" s="242" t="s">
        <v>90</v>
      </c>
      <c r="B178" s="209"/>
      <c r="C178" s="209"/>
      <c r="D178" s="209"/>
      <c r="E178" s="209"/>
      <c r="F178" s="240"/>
      <c r="G178" s="240"/>
      <c r="H178" s="240"/>
      <c r="I178" s="209"/>
      <c r="J178" s="209"/>
      <c r="K178" s="209"/>
      <c r="L178" s="240"/>
      <c r="M178" s="240"/>
      <c r="N178" s="240"/>
      <c r="O178" s="229"/>
      <c r="P178" s="223"/>
      <c r="Q178" s="52"/>
      <c r="R178" s="52"/>
      <c r="S178" s="52"/>
      <c r="T178" s="52"/>
    </row>
    <row r="179" spans="1:20" s="76" customFormat="1" ht="11.45" customHeight="1">
      <c r="A179" s="210"/>
      <c r="B179" s="210"/>
      <c r="C179" s="210"/>
      <c r="D179" s="210"/>
      <c r="E179" s="210"/>
      <c r="F179" s="540" t="s">
        <v>5</v>
      </c>
      <c r="G179" s="540"/>
      <c r="H179" s="540"/>
      <c r="I179" s="210"/>
      <c r="J179" s="540" t="s">
        <v>20</v>
      </c>
      <c r="K179" s="540"/>
      <c r="L179" s="540"/>
      <c r="M179" s="466"/>
      <c r="N179" s="406"/>
      <c r="O179" s="413"/>
      <c r="P179" s="210"/>
    </row>
    <row r="180" spans="1:20" s="76" customFormat="1" ht="11.45" customHeight="1">
      <c r="A180" s="210"/>
      <c r="B180" s="210"/>
      <c r="C180" s="210"/>
      <c r="D180" s="210"/>
      <c r="E180" s="210"/>
      <c r="F180" s="541" t="s">
        <v>1</v>
      </c>
      <c r="G180" s="541"/>
      <c r="H180" s="541"/>
      <c r="I180" s="210"/>
      <c r="J180" s="541" t="s">
        <v>1</v>
      </c>
      <c r="K180" s="541"/>
      <c r="L180" s="541"/>
      <c r="M180" s="467"/>
      <c r="N180" s="406"/>
      <c r="O180" s="413"/>
      <c r="P180" s="210"/>
    </row>
    <row r="181" spans="1:20" s="41" customFormat="1" ht="11.45" customHeight="1">
      <c r="A181" s="135" t="s">
        <v>103</v>
      </c>
      <c r="B181" s="133"/>
      <c r="C181" s="133"/>
      <c r="D181" s="133"/>
      <c r="E181" s="132"/>
      <c r="F181" s="277">
        <v>2016</v>
      </c>
      <c r="G181" s="214"/>
      <c r="H181" s="215">
        <f>+$L$29</f>
        <v>2015</v>
      </c>
      <c r="I181" s="132"/>
      <c r="J181" s="386">
        <v>2016</v>
      </c>
      <c r="K181" s="210"/>
      <c r="L181" s="215">
        <f>+$L$29</f>
        <v>2015</v>
      </c>
      <c r="M181" s="214"/>
      <c r="N181" s="418"/>
      <c r="O181" s="223"/>
      <c r="P181" s="229"/>
      <c r="Q181" s="52"/>
      <c r="R181" s="52"/>
    </row>
    <row r="182" spans="1:20" s="41" customFormat="1" ht="11.45" customHeight="1">
      <c r="A182" s="130"/>
      <c r="B182" s="131"/>
      <c r="C182" s="131"/>
      <c r="D182" s="131"/>
      <c r="E182" s="132"/>
      <c r="F182" s="158" t="s">
        <v>0</v>
      </c>
      <c r="G182" s="158"/>
      <c r="H182" s="158"/>
      <c r="I182" s="132"/>
      <c r="J182" s="132"/>
      <c r="K182" s="132"/>
      <c r="L182" s="158"/>
      <c r="M182" s="158"/>
      <c r="N182" s="158"/>
      <c r="O182" s="243"/>
      <c r="P182" s="229"/>
      <c r="Q182" s="52"/>
      <c r="R182" s="52"/>
      <c r="S182" s="52"/>
    </row>
    <row r="183" spans="1:20" s="41" customFormat="1" ht="11.45" customHeight="1">
      <c r="A183" s="132"/>
      <c r="B183" s="132" t="s">
        <v>108</v>
      </c>
      <c r="C183" s="132"/>
      <c r="D183" s="132"/>
      <c r="E183" s="132"/>
      <c r="F183" s="147">
        <f>F32</f>
        <v>50.936</v>
      </c>
      <c r="G183" s="147"/>
      <c r="H183" s="147">
        <f>H32</f>
        <v>98</v>
      </c>
      <c r="I183" s="132"/>
      <c r="J183" s="416">
        <f>J32</f>
        <v>242.33600000000001</v>
      </c>
      <c r="K183" s="132"/>
      <c r="L183" s="147">
        <f>L32</f>
        <v>380.4</v>
      </c>
      <c r="M183" s="147"/>
      <c r="N183" s="147"/>
      <c r="O183" s="239"/>
      <c r="P183" s="229"/>
      <c r="Q183" s="52"/>
      <c r="R183" s="52"/>
      <c r="S183" s="52"/>
    </row>
    <row r="184" spans="1:20" s="41" customFormat="1" ht="11.45" customHeight="1">
      <c r="A184" s="132"/>
      <c r="B184" s="132" t="s">
        <v>59</v>
      </c>
      <c r="C184" s="132"/>
      <c r="D184" s="132"/>
      <c r="E184" s="132"/>
      <c r="F184" s="147">
        <f>F33</f>
        <v>52.433</v>
      </c>
      <c r="G184" s="147"/>
      <c r="H184" s="147">
        <f>H33</f>
        <v>67.5</v>
      </c>
      <c r="I184" s="132"/>
      <c r="J184" s="399">
        <f>J33</f>
        <v>226.833</v>
      </c>
      <c r="K184" s="132"/>
      <c r="L184" s="147">
        <f>L33</f>
        <v>194.3</v>
      </c>
      <c r="M184" s="147"/>
      <c r="N184" s="147"/>
      <c r="O184" s="229"/>
      <c r="P184" s="229"/>
      <c r="Q184" s="52"/>
      <c r="R184" s="59"/>
    </row>
    <row r="185" spans="1:20" s="41" customFormat="1" ht="11.45" customHeight="1">
      <c r="A185" s="132"/>
      <c r="B185" s="132" t="s">
        <v>138</v>
      </c>
      <c r="C185" s="132"/>
      <c r="D185" s="132"/>
      <c r="E185" s="132"/>
      <c r="F185" s="147">
        <f>-CF!E20</f>
        <v>47.8</v>
      </c>
      <c r="G185" s="147"/>
      <c r="H185" s="147">
        <f>-CF!G20</f>
        <v>70.2</v>
      </c>
      <c r="I185" s="132"/>
      <c r="J185" s="147">
        <f>-CF!I20</f>
        <v>200.99999999999997</v>
      </c>
      <c r="K185" s="132"/>
      <c r="L185" s="147">
        <f>-CF!K20</f>
        <v>303.3</v>
      </c>
      <c r="M185" s="147"/>
      <c r="N185" s="147"/>
      <c r="O185" s="229"/>
      <c r="P185" s="229"/>
      <c r="Q185" s="52"/>
      <c r="R185" s="59"/>
    </row>
    <row r="186" spans="1:20" s="41" customFormat="1" ht="11.45" customHeight="1">
      <c r="A186" s="132"/>
      <c r="B186" s="132" t="s">
        <v>154</v>
      </c>
      <c r="C186" s="132"/>
      <c r="D186" s="132"/>
      <c r="E186" s="132"/>
      <c r="F186" s="244">
        <f>-(Notes!F32/CF!E20)</f>
        <v>1.0656066945606695</v>
      </c>
      <c r="G186" s="244"/>
      <c r="H186" s="244">
        <f>H183/H185</f>
        <v>1.396011396011396</v>
      </c>
      <c r="I186" s="132"/>
      <c r="J186" s="244">
        <f>J183/J185</f>
        <v>1.2056517412935326</v>
      </c>
      <c r="K186" s="132"/>
      <c r="L186" s="244">
        <v>1.25</v>
      </c>
      <c r="M186" s="244"/>
      <c r="N186" s="244"/>
      <c r="O186" s="229"/>
      <c r="P186" s="229"/>
      <c r="Q186" s="52"/>
      <c r="R186" s="190"/>
    </row>
    <row r="187" spans="1:20" s="41" customFormat="1" ht="11.45" customHeight="1">
      <c r="A187" s="132"/>
      <c r="B187" s="132" t="s">
        <v>139</v>
      </c>
      <c r="C187" s="132"/>
      <c r="D187" s="132"/>
      <c r="E187" s="132"/>
      <c r="F187" s="147">
        <f>F116</f>
        <v>1.976</v>
      </c>
      <c r="G187" s="147"/>
      <c r="H187" s="147">
        <f>H116</f>
        <v>4.9000000000000004</v>
      </c>
      <c r="I187" s="147"/>
      <c r="J187" s="147">
        <f>J116</f>
        <v>12.576000000000001</v>
      </c>
      <c r="K187" s="147"/>
      <c r="L187" s="147">
        <f>L116</f>
        <v>19.600000000000001</v>
      </c>
      <c r="M187" s="147"/>
      <c r="N187" s="147"/>
      <c r="O187" s="229"/>
      <c r="P187" s="245"/>
      <c r="Q187" s="53"/>
      <c r="R187" s="59"/>
    </row>
    <row r="188" spans="1:20" s="41" customFormat="1" ht="11.45" customHeight="1">
      <c r="A188" s="131"/>
      <c r="B188" s="131" t="s">
        <v>123</v>
      </c>
      <c r="C188" s="131"/>
      <c r="D188" s="131"/>
      <c r="E188" s="131"/>
      <c r="F188" s="148">
        <v>13.3</v>
      </c>
      <c r="G188" s="249"/>
      <c r="H188" s="148">
        <v>17</v>
      </c>
      <c r="I188" s="428"/>
      <c r="J188" s="388">
        <f>48.8+F188</f>
        <v>62.099999999999994</v>
      </c>
      <c r="K188" s="428"/>
      <c r="L188" s="148">
        <v>107</v>
      </c>
      <c r="M188" s="148"/>
      <c r="N188" s="147"/>
      <c r="O188" s="229"/>
      <c r="P188" s="245"/>
      <c r="Q188" s="53"/>
      <c r="R188" s="59"/>
    </row>
    <row r="189" spans="1:20" s="41" customFormat="1" ht="11.45" customHeight="1">
      <c r="A189" s="131"/>
      <c r="B189" s="131" t="s">
        <v>140</v>
      </c>
      <c r="C189" s="131"/>
      <c r="D189" s="131"/>
      <c r="E189" s="131"/>
      <c r="F189" s="148">
        <f>F70</f>
        <v>-76.594999999999999</v>
      </c>
      <c r="G189" s="148"/>
      <c r="H189" s="148">
        <f>H70</f>
        <v>-101.8</v>
      </c>
      <c r="I189" s="131"/>
      <c r="J189" s="148">
        <f>J70</f>
        <v>-279.19499999999999</v>
      </c>
      <c r="K189" s="131"/>
      <c r="L189" s="148">
        <f>L70</f>
        <v>-327.60000000000002</v>
      </c>
      <c r="M189" s="148"/>
      <c r="N189" s="147"/>
      <c r="O189" s="229"/>
      <c r="P189" s="246"/>
      <c r="Q189" s="53"/>
      <c r="R189" s="59"/>
    </row>
    <row r="190" spans="1:20" s="41" customFormat="1" ht="11.45" customHeight="1">
      <c r="A190" s="131"/>
      <c r="B190" s="131" t="s">
        <v>221</v>
      </c>
      <c r="C190" s="131"/>
      <c r="D190" s="131"/>
      <c r="E190" s="131"/>
      <c r="F190" s="148">
        <f>F71</f>
        <v>0</v>
      </c>
      <c r="G190" s="148"/>
      <c r="H190" s="148">
        <f>H71</f>
        <v>0</v>
      </c>
      <c r="I190" s="131"/>
      <c r="J190" s="148">
        <f>J71</f>
        <v>-14.6</v>
      </c>
      <c r="K190" s="131"/>
      <c r="L190" s="148">
        <f>L71</f>
        <v>0</v>
      </c>
      <c r="M190" s="147"/>
      <c r="N190" s="147"/>
      <c r="O190" s="229"/>
      <c r="P190" s="246"/>
      <c r="Q190" s="53"/>
      <c r="R190" s="59"/>
    </row>
    <row r="191" spans="1:20" s="41" customFormat="1" ht="11.45" customHeight="1">
      <c r="A191" s="133"/>
      <c r="B191" s="133" t="s">
        <v>222</v>
      </c>
      <c r="C191" s="133"/>
      <c r="D191" s="133"/>
      <c r="E191" s="132"/>
      <c r="F191" s="188">
        <f>F72</f>
        <v>-20.957999999999998</v>
      </c>
      <c r="G191" s="147"/>
      <c r="H191" s="188">
        <f>H72</f>
        <v>-102.5</v>
      </c>
      <c r="I191" s="132"/>
      <c r="J191" s="188">
        <f>J72</f>
        <v>-30.135999999999999</v>
      </c>
      <c r="K191" s="132"/>
      <c r="L191" s="188">
        <f>L72</f>
        <v>-102.5</v>
      </c>
      <c r="M191" s="147"/>
      <c r="N191" s="147"/>
      <c r="O191" s="229"/>
      <c r="P191" s="246"/>
      <c r="Q191" s="53"/>
      <c r="R191" s="59"/>
    </row>
    <row r="192" spans="1:20" s="41" customFormat="1" ht="11.45" customHeight="1">
      <c r="A192" s="131"/>
      <c r="B192" s="131"/>
      <c r="C192" s="131"/>
      <c r="D192" s="131"/>
      <c r="E192" s="131"/>
      <c r="F192" s="243"/>
      <c r="G192" s="243"/>
      <c r="H192" s="243"/>
      <c r="I192" s="131"/>
      <c r="J192" s="131"/>
      <c r="K192" s="131"/>
      <c r="L192" s="243"/>
      <c r="M192" s="243"/>
      <c r="N192" s="243"/>
      <c r="O192" s="243"/>
      <c r="P192" s="229"/>
      <c r="Q192" s="103"/>
      <c r="R192" s="53"/>
    </row>
    <row r="193" spans="1:21" s="41" customFormat="1" ht="11.45" customHeight="1">
      <c r="A193" s="247"/>
      <c r="B193" s="248"/>
      <c r="C193" s="248"/>
      <c r="D193" s="248"/>
      <c r="E193" s="248"/>
      <c r="F193" s="229"/>
      <c r="G193" s="229"/>
      <c r="H193" s="229"/>
      <c r="I193" s="248"/>
      <c r="J193" s="248"/>
      <c r="K193" s="248"/>
      <c r="L193" s="229"/>
      <c r="M193" s="229"/>
      <c r="N193" s="229"/>
      <c r="O193" s="229"/>
      <c r="P193" s="132"/>
      <c r="Q193" s="52"/>
      <c r="R193" s="53"/>
    </row>
    <row r="194" spans="1:21" s="41" customFormat="1" ht="15" customHeight="1">
      <c r="A194" s="405" t="s">
        <v>202</v>
      </c>
      <c r="B194" s="404"/>
      <c r="C194" s="404"/>
      <c r="D194" s="404"/>
      <c r="E194" s="207"/>
      <c r="F194" s="207" t="s">
        <v>0</v>
      </c>
      <c r="G194" s="207"/>
      <c r="H194" s="207" t="s">
        <v>0</v>
      </c>
      <c r="I194" s="207"/>
      <c r="J194" s="207"/>
      <c r="K194" s="207"/>
      <c r="L194" s="207" t="s">
        <v>0</v>
      </c>
      <c r="M194" s="207"/>
      <c r="N194" s="207"/>
      <c r="O194" s="425"/>
      <c r="P194" s="426"/>
      <c r="Q194" s="427"/>
      <c r="R194" s="427"/>
      <c r="S194" s="80"/>
      <c r="T194" s="80"/>
      <c r="U194" s="79"/>
    </row>
    <row r="195" spans="1:21" s="41" customFormat="1" ht="11.45" customHeight="1">
      <c r="A195" s="417" t="s">
        <v>0</v>
      </c>
      <c r="B195" s="132"/>
      <c r="C195" s="132"/>
      <c r="D195" s="132"/>
      <c r="E195" s="132"/>
      <c r="F195" s="278"/>
      <c r="G195" s="223"/>
      <c r="H195" s="223"/>
      <c r="I195" s="132"/>
      <c r="J195" s="132"/>
      <c r="K195" s="132"/>
      <c r="L195" s="229"/>
      <c r="M195" s="223"/>
      <c r="N195" s="229"/>
      <c r="O195" s="229"/>
      <c r="P195" s="132"/>
      <c r="Q195" s="52"/>
      <c r="R195" s="53"/>
    </row>
    <row r="196" spans="1:21" s="41" customFormat="1" ht="11.45" customHeight="1" thickBot="1">
      <c r="A196" s="209" t="s">
        <v>148</v>
      </c>
      <c r="B196" s="209"/>
      <c r="C196" s="209"/>
      <c r="D196" s="209"/>
      <c r="E196" s="209"/>
      <c r="F196" s="240"/>
      <c r="G196" s="240"/>
      <c r="H196" s="240"/>
      <c r="I196" s="229"/>
      <c r="J196" s="229"/>
      <c r="K196" s="229"/>
      <c r="L196" s="229"/>
      <c r="M196" s="229"/>
      <c r="N196" s="229"/>
      <c r="O196" s="102"/>
      <c r="P196" s="53"/>
      <c r="Q196" s="59"/>
      <c r="R196" s="59"/>
    </row>
    <row r="197" spans="1:21" s="76" customFormat="1" ht="11.45" customHeight="1">
      <c r="A197" s="210"/>
      <c r="B197" s="210"/>
      <c r="C197" s="210"/>
      <c r="D197" s="210"/>
      <c r="E197" s="210"/>
      <c r="F197" s="542" t="s">
        <v>1</v>
      </c>
      <c r="G197" s="542"/>
      <c r="H197" s="542"/>
      <c r="I197" s="406"/>
      <c r="J197" s="413"/>
      <c r="K197" s="513"/>
      <c r="L197" s="517"/>
      <c r="M197" s="413"/>
      <c r="N197" s="210"/>
    </row>
    <row r="198" spans="1:21" s="41" customFormat="1" ht="11.45" customHeight="1">
      <c r="A198" s="135" t="s">
        <v>103</v>
      </c>
      <c r="B198" s="133"/>
      <c r="C198" s="133"/>
      <c r="D198" s="133"/>
      <c r="E198" s="132"/>
      <c r="F198" s="277">
        <v>2016</v>
      </c>
      <c r="G198" s="214"/>
      <c r="H198" s="215">
        <v>2015</v>
      </c>
      <c r="I198" s="418"/>
      <c r="J198" s="452"/>
      <c r="K198" s="230"/>
      <c r="L198" s="131"/>
      <c r="M198" s="102"/>
      <c r="N198" s="434"/>
      <c r="O198" s="53"/>
      <c r="P198" s="59"/>
      <c r="Q198" s="59"/>
    </row>
    <row r="199" spans="1:21" ht="11.45" customHeight="1">
      <c r="A199" s="132"/>
      <c r="B199" s="191" t="s">
        <v>141</v>
      </c>
      <c r="C199" s="255"/>
      <c r="D199" s="255"/>
      <c r="E199" s="132"/>
      <c r="F199" s="147" t="s">
        <v>0</v>
      </c>
      <c r="G199" s="223"/>
      <c r="H199" s="147"/>
      <c r="I199" s="132"/>
      <c r="J199" s="49"/>
      <c r="K199" s="223"/>
      <c r="L199" s="223"/>
      <c r="M199" s="223"/>
      <c r="N199" s="235"/>
      <c r="O199" s="229"/>
      <c r="P199" s="129"/>
      <c r="Q199" s="49"/>
    </row>
    <row r="200" spans="1:21" ht="11.45" customHeight="1">
      <c r="A200" s="132"/>
      <c r="B200" s="185" t="s">
        <v>204</v>
      </c>
      <c r="C200" s="255"/>
      <c r="D200" s="255"/>
      <c r="E200" s="132"/>
      <c r="F200" s="147">
        <v>389</v>
      </c>
      <c r="G200" s="223"/>
      <c r="H200" s="147">
        <v>393</v>
      </c>
      <c r="I200" s="132"/>
      <c r="J200" s="49"/>
      <c r="K200" s="223"/>
      <c r="L200" s="223"/>
      <c r="M200" s="223"/>
      <c r="N200" s="235"/>
      <c r="O200" s="229"/>
      <c r="P200" s="129"/>
      <c r="Q200" s="49"/>
    </row>
    <row r="201" spans="1:21" ht="11.45" customHeight="1">
      <c r="A201" s="132"/>
      <c r="B201" s="185" t="s">
        <v>142</v>
      </c>
      <c r="C201" s="255"/>
      <c r="D201" s="255"/>
      <c r="E201" s="132"/>
      <c r="F201" s="147">
        <v>182.3</v>
      </c>
      <c r="G201" s="223"/>
      <c r="H201" s="147">
        <v>203.1</v>
      </c>
      <c r="I201" s="132"/>
      <c r="J201" s="49"/>
      <c r="K201" s="223"/>
      <c r="L201" s="223"/>
      <c r="M201" s="223"/>
      <c r="N201" s="235"/>
      <c r="O201" s="229"/>
      <c r="P201" s="129"/>
      <c r="Q201" s="49"/>
    </row>
    <row r="202" spans="1:21" ht="11.45" customHeight="1">
      <c r="A202" s="132"/>
      <c r="B202" s="185" t="s">
        <v>143</v>
      </c>
      <c r="C202" s="255"/>
      <c r="D202" s="255"/>
      <c r="E202" s="132"/>
      <c r="F202" s="147">
        <v>192.1</v>
      </c>
      <c r="G202" s="223"/>
      <c r="H202" s="147">
        <v>76.099999999999994</v>
      </c>
      <c r="I202" s="132"/>
      <c r="J202" s="49"/>
      <c r="K202" s="223"/>
      <c r="L202" s="223"/>
      <c r="M202" s="223"/>
      <c r="N202" s="235"/>
      <c r="O202" s="229"/>
      <c r="P202" s="129"/>
      <c r="Q202" s="49"/>
    </row>
    <row r="203" spans="1:21" ht="11.45" customHeight="1">
      <c r="A203" s="132"/>
      <c r="B203" s="185" t="s">
        <v>173</v>
      </c>
      <c r="C203" s="255"/>
      <c r="D203" s="255"/>
      <c r="E203" s="132"/>
      <c r="F203" s="147">
        <v>190</v>
      </c>
      <c r="G203" s="223"/>
      <c r="H203" s="147">
        <v>25</v>
      </c>
      <c r="I203" s="132"/>
      <c r="J203" s="49"/>
      <c r="K203" s="223"/>
      <c r="L203" s="223"/>
      <c r="M203" s="223"/>
      <c r="N203" s="235"/>
      <c r="O203" s="229"/>
      <c r="P203" s="129"/>
      <c r="Q203" s="49"/>
    </row>
    <row r="204" spans="1:21" ht="11.45" customHeight="1">
      <c r="A204" s="132"/>
      <c r="B204" s="191" t="s">
        <v>144</v>
      </c>
      <c r="C204" s="255"/>
      <c r="D204" s="255"/>
      <c r="E204" s="132"/>
      <c r="F204" s="147"/>
      <c r="G204" s="223"/>
      <c r="H204" s="147"/>
      <c r="I204" s="132"/>
      <c r="J204" s="49"/>
      <c r="K204" s="223"/>
      <c r="L204" s="223"/>
      <c r="M204" s="223"/>
      <c r="N204" s="235"/>
      <c r="O204" s="229"/>
      <c r="P204" s="129"/>
      <c r="Q204" s="49"/>
    </row>
    <row r="205" spans="1:21" ht="11.45" customHeight="1">
      <c r="A205" s="132"/>
      <c r="B205" s="185" t="s">
        <v>145</v>
      </c>
      <c r="C205" s="255"/>
      <c r="D205" s="255"/>
      <c r="E205" s="132"/>
      <c r="F205" s="147">
        <v>26</v>
      </c>
      <c r="G205" s="223"/>
      <c r="H205" s="147">
        <v>450</v>
      </c>
      <c r="I205" s="132"/>
      <c r="J205" s="49"/>
      <c r="K205" s="223"/>
      <c r="L205" s="223"/>
      <c r="M205" s="223"/>
      <c r="N205" s="235"/>
      <c r="O205" s="229"/>
      <c r="P205" s="129"/>
      <c r="Q205" s="49"/>
    </row>
    <row r="206" spans="1:21" ht="11.45" customHeight="1">
      <c r="A206" s="132"/>
      <c r="B206" s="185" t="s">
        <v>243</v>
      </c>
      <c r="C206" s="255"/>
      <c r="D206" s="255"/>
      <c r="E206" s="132"/>
      <c r="F206" s="147">
        <v>212</v>
      </c>
      <c r="G206" s="223"/>
      <c r="H206" s="147"/>
      <c r="I206" s="132"/>
      <c r="J206" s="49"/>
      <c r="K206" s="223"/>
      <c r="L206" s="223"/>
      <c r="M206" s="223"/>
      <c r="N206" s="235"/>
      <c r="O206" s="229"/>
      <c r="P206" s="129"/>
      <c r="Q206" s="49"/>
    </row>
    <row r="207" spans="1:21" s="41" customFormat="1" ht="13.5" customHeight="1">
      <c r="A207" s="410"/>
      <c r="B207" s="410" t="s">
        <v>43</v>
      </c>
      <c r="C207" s="410"/>
      <c r="D207" s="410"/>
      <c r="E207" s="132"/>
      <c r="F207" s="149">
        <f>SUM(F200:F206)</f>
        <v>1191.4000000000001</v>
      </c>
      <c r="G207" s="147"/>
      <c r="H207" s="149">
        <f>SUM(H200:H205)</f>
        <v>1147.2</v>
      </c>
      <c r="I207" s="146"/>
      <c r="J207" s="419"/>
      <c r="K207" s="229"/>
      <c r="L207" s="236"/>
      <c r="M207" s="49"/>
      <c r="N207" s="52"/>
      <c r="O207" s="52"/>
      <c r="P207" s="52"/>
      <c r="Q207" s="59"/>
    </row>
    <row r="208" spans="1:21" s="41" customFormat="1" ht="11.45" customHeight="1">
      <c r="A208" s="132"/>
      <c r="B208" s="185" t="s">
        <v>239</v>
      </c>
      <c r="C208" s="131"/>
      <c r="D208" s="131"/>
      <c r="E208" s="132"/>
      <c r="F208" s="148">
        <v>-37.799999999999997</v>
      </c>
      <c r="G208" s="147"/>
      <c r="H208" s="148">
        <v>-24.8</v>
      </c>
      <c r="I208" s="146"/>
      <c r="J208" s="59"/>
      <c r="K208" s="229"/>
      <c r="L208" s="236"/>
      <c r="M208" s="49"/>
      <c r="N208" s="52"/>
      <c r="O208" s="52"/>
      <c r="P208" s="52"/>
      <c r="Q208" s="59"/>
    </row>
    <row r="209" spans="1:20" s="41" customFormat="1" ht="11.45" customHeight="1">
      <c r="A209" s="132"/>
      <c r="B209" s="185" t="s">
        <v>146</v>
      </c>
      <c r="C209" s="131"/>
      <c r="D209" s="131"/>
      <c r="E209" s="132"/>
      <c r="F209" s="148">
        <v>-21.6</v>
      </c>
      <c r="G209" s="147"/>
      <c r="H209" s="148">
        <v>-22.5</v>
      </c>
      <c r="I209" s="146"/>
      <c r="J209" s="59"/>
      <c r="K209" s="229"/>
      <c r="L209" s="236"/>
      <c r="M209" s="49"/>
      <c r="N209" s="442"/>
      <c r="O209" s="442"/>
      <c r="P209" s="442"/>
      <c r="Q209" s="59"/>
    </row>
    <row r="210" spans="1:20" s="58" customFormat="1" ht="11.45" customHeight="1">
      <c r="A210" s="134"/>
      <c r="B210" s="282" t="s">
        <v>147</v>
      </c>
      <c r="C210" s="134"/>
      <c r="D210" s="134"/>
      <c r="E210" s="283"/>
      <c r="F210" s="149">
        <f>SUM(F207:F209)</f>
        <v>1132.0000000000002</v>
      </c>
      <c r="G210" s="257"/>
      <c r="H210" s="149">
        <f>SUM(H207:H209)</f>
        <v>1099.9000000000001</v>
      </c>
      <c r="I210" s="283"/>
      <c r="J210" s="420"/>
      <c r="K210" s="224"/>
      <c r="L210" s="224"/>
      <c r="M210" s="257"/>
      <c r="N210" s="236"/>
      <c r="O210" s="224"/>
      <c r="P210" s="443"/>
      <c r="Q210" s="420"/>
    </row>
    <row r="211" spans="1:20" ht="11.45" customHeight="1">
      <c r="A211" s="132"/>
      <c r="B211" s="131"/>
      <c r="C211" s="131"/>
      <c r="D211" s="131"/>
      <c r="E211" s="132"/>
      <c r="F211" s="146"/>
      <c r="G211" s="147"/>
      <c r="H211" s="47"/>
      <c r="I211" s="132"/>
      <c r="J211" s="146"/>
      <c r="K211" s="132"/>
      <c r="L211" s="49"/>
      <c r="M211" s="147"/>
      <c r="N211" s="146"/>
      <c r="O211" s="229"/>
      <c r="P211" s="236"/>
      <c r="Q211" s="49"/>
      <c r="R211" s="49"/>
    </row>
    <row r="212" spans="1:20" ht="11.45" customHeight="1" thickBot="1">
      <c r="A212" s="263" t="s">
        <v>149</v>
      </c>
      <c r="B212" s="240"/>
      <c r="C212" s="263"/>
      <c r="D212" s="263"/>
      <c r="E212" s="209"/>
      <c r="F212" s="147"/>
      <c r="G212" s="223"/>
      <c r="H212" s="421"/>
      <c r="I212" s="130"/>
      <c r="J212" s="148"/>
      <c r="K212" s="130"/>
      <c r="L212" s="49"/>
      <c r="M212" s="223"/>
      <c r="N212" s="223"/>
      <c r="O212" s="223"/>
      <c r="P212" s="229"/>
      <c r="Q212" s="129"/>
      <c r="R212" s="49"/>
    </row>
    <row r="213" spans="1:20" s="76" customFormat="1" ht="11.45" customHeight="1">
      <c r="A213" s="210"/>
      <c r="B213" s="210"/>
      <c r="C213" s="210"/>
      <c r="D213" s="210"/>
      <c r="E213" s="210"/>
      <c r="F213" s="542" t="s">
        <v>1</v>
      </c>
      <c r="G213" s="542"/>
      <c r="H213" s="542"/>
      <c r="I213" s="513"/>
      <c r="J213" s="513"/>
      <c r="K213" s="406"/>
      <c r="M213" s="413"/>
      <c r="N213" s="210"/>
    </row>
    <row r="214" spans="1:20" ht="11.45" customHeight="1">
      <c r="A214" s="135" t="s">
        <v>103</v>
      </c>
      <c r="B214" s="133"/>
      <c r="C214" s="133"/>
      <c r="D214" s="133"/>
      <c r="E214" s="132"/>
      <c r="F214" s="277">
        <v>2016</v>
      </c>
      <c r="G214" s="214"/>
      <c r="H214" s="215">
        <v>2015</v>
      </c>
      <c r="I214" s="418"/>
      <c r="J214" s="47"/>
      <c r="K214" s="230"/>
      <c r="L214" s="236"/>
      <c r="M214" s="49"/>
      <c r="N214" s="49"/>
      <c r="O214" s="49"/>
      <c r="P214" s="49"/>
      <c r="Q214" s="49"/>
    </row>
    <row r="215" spans="1:20" ht="11.45" customHeight="1">
      <c r="A215" s="132"/>
      <c r="B215" s="191" t="s">
        <v>141</v>
      </c>
      <c r="C215" s="255"/>
      <c r="D215" s="255"/>
      <c r="E215" s="132"/>
      <c r="F215" s="147" t="s">
        <v>0</v>
      </c>
      <c r="G215" s="223"/>
      <c r="H215" s="147"/>
      <c r="I215" s="132"/>
      <c r="J215" s="49"/>
      <c r="K215" s="223"/>
      <c r="L215" s="223"/>
      <c r="M215" s="223"/>
      <c r="N215" s="235"/>
      <c r="O215" s="229"/>
      <c r="P215" s="129"/>
      <c r="Q215" s="49"/>
    </row>
    <row r="216" spans="1:20" ht="11.45" customHeight="1">
      <c r="A216" s="132"/>
      <c r="B216" s="185" t="s">
        <v>174</v>
      </c>
      <c r="C216" s="255"/>
      <c r="D216" s="255"/>
      <c r="E216" s="132"/>
      <c r="F216" s="147">
        <v>210</v>
      </c>
      <c r="G216" s="223"/>
      <c r="H216" s="147">
        <v>475</v>
      </c>
      <c r="I216" s="132"/>
      <c r="J216" s="49"/>
      <c r="K216" s="223"/>
      <c r="L216" s="223"/>
      <c r="M216" s="223"/>
      <c r="N216" s="235"/>
      <c r="O216" s="229"/>
      <c r="P216" s="129"/>
      <c r="Q216" s="49"/>
    </row>
    <row r="217" spans="1:20" ht="11.45" customHeight="1">
      <c r="A217" s="132"/>
      <c r="B217" s="185" t="s">
        <v>150</v>
      </c>
      <c r="C217" s="255"/>
      <c r="D217" s="255"/>
      <c r="E217" s="132"/>
      <c r="F217" s="147">
        <v>91.2</v>
      </c>
      <c r="G217" s="223"/>
      <c r="H217" s="147">
        <v>228.5</v>
      </c>
      <c r="I217" s="132"/>
      <c r="J217" s="49"/>
      <c r="K217" s="223"/>
      <c r="L217" s="223"/>
      <c r="M217" s="223"/>
      <c r="N217" s="235"/>
      <c r="O217" s="229"/>
      <c r="P217" s="129"/>
      <c r="Q217" s="49"/>
    </row>
    <row r="218" spans="1:20" ht="11.45" customHeight="1">
      <c r="A218" s="132"/>
      <c r="B218" s="191" t="s">
        <v>144</v>
      </c>
      <c r="C218" s="255"/>
      <c r="D218" s="255"/>
      <c r="E218" s="132"/>
      <c r="F218" s="147"/>
      <c r="G218" s="223"/>
      <c r="H218" s="147"/>
      <c r="I218" s="132"/>
      <c r="J218" s="49"/>
      <c r="K218" s="223"/>
      <c r="L218" s="223"/>
      <c r="M218" s="223"/>
      <c r="N218" s="235"/>
      <c r="O218" s="229"/>
      <c r="P218" s="129"/>
      <c r="Q218" s="49"/>
    </row>
    <row r="219" spans="1:20" ht="11.45" customHeight="1">
      <c r="A219" s="132"/>
      <c r="B219" s="185" t="s">
        <v>151</v>
      </c>
      <c r="C219" s="255"/>
      <c r="D219" s="255"/>
      <c r="E219" s="132"/>
      <c r="F219" s="147">
        <v>5.8</v>
      </c>
      <c r="G219" s="223"/>
      <c r="H219" s="147">
        <v>5.7</v>
      </c>
      <c r="I219" s="132"/>
      <c r="J219" s="419"/>
      <c r="K219" s="223"/>
      <c r="L219" s="223"/>
      <c r="M219" s="223"/>
      <c r="N219" s="235"/>
      <c r="O219" s="229"/>
      <c r="P219" s="129"/>
      <c r="Q219" s="49"/>
    </row>
    <row r="220" spans="1:20" ht="11.45" customHeight="1">
      <c r="A220" s="132"/>
      <c r="B220" s="185" t="s">
        <v>152</v>
      </c>
      <c r="C220" s="255"/>
      <c r="D220" s="255"/>
      <c r="E220" s="132"/>
      <c r="F220" s="147">
        <v>12.5</v>
      </c>
      <c r="G220" s="223"/>
      <c r="H220" s="147">
        <v>13</v>
      </c>
      <c r="I220" s="132"/>
      <c r="J220" s="49"/>
      <c r="K220" s="223"/>
      <c r="L220" s="223"/>
      <c r="M220" s="223"/>
      <c r="N220" s="235"/>
      <c r="O220" s="229"/>
      <c r="P220" s="129"/>
      <c r="Q220" s="49"/>
    </row>
    <row r="221" spans="1:20" s="58" customFormat="1" ht="11.45" customHeight="1">
      <c r="A221" s="134"/>
      <c r="B221" s="282" t="s">
        <v>43</v>
      </c>
      <c r="C221" s="134"/>
      <c r="D221" s="134"/>
      <c r="E221" s="283"/>
      <c r="F221" s="149">
        <f>SUM(F216:F220)</f>
        <v>319.5</v>
      </c>
      <c r="G221" s="257"/>
      <c r="H221" s="149">
        <f>SUM(H216:H220)</f>
        <v>722.2</v>
      </c>
      <c r="I221" s="283"/>
      <c r="J221" s="420"/>
      <c r="K221" s="224"/>
      <c r="L221" s="224"/>
      <c r="M221" s="257"/>
      <c r="N221" s="236"/>
      <c r="O221" s="224"/>
      <c r="P221" s="443"/>
      <c r="Q221" s="420"/>
    </row>
    <row r="222" spans="1:20" ht="11.45" customHeight="1">
      <c r="A222" s="247"/>
      <c r="B222" s="248"/>
      <c r="C222" s="248"/>
      <c r="D222" s="248"/>
      <c r="E222" s="248"/>
      <c r="F222" s="229"/>
      <c r="G222" s="229"/>
      <c r="H222" s="229"/>
      <c r="I222" s="248"/>
      <c r="J222" s="49"/>
      <c r="K222" s="229"/>
      <c r="L222" s="229"/>
      <c r="M222" s="229"/>
      <c r="N222" s="132"/>
      <c r="O222" s="415"/>
      <c r="P222" s="56"/>
      <c r="Q222" s="49"/>
      <c r="S222" s="49"/>
      <c r="T222" s="49"/>
    </row>
    <row r="223" spans="1:20" ht="11.45" customHeight="1" thickBot="1">
      <c r="A223" s="263" t="s">
        <v>91</v>
      </c>
      <c r="B223" s="240"/>
      <c r="C223" s="263"/>
      <c r="D223" s="263"/>
      <c r="E223" s="209"/>
      <c r="F223" s="147"/>
      <c r="G223" s="223"/>
      <c r="H223" s="421"/>
      <c r="I223" s="131"/>
      <c r="J223" s="148"/>
      <c r="K223" s="131"/>
      <c r="L223" s="49"/>
      <c r="M223" s="223"/>
      <c r="N223" s="223"/>
      <c r="O223" s="223"/>
      <c r="P223" s="229"/>
      <c r="Q223" s="129"/>
      <c r="R223" s="49"/>
    </row>
    <row r="224" spans="1:20" s="76" customFormat="1" ht="11.45" customHeight="1">
      <c r="A224" s="210"/>
      <c r="B224" s="210"/>
      <c r="C224" s="210"/>
      <c r="D224" s="210"/>
      <c r="E224" s="210"/>
      <c r="F224" s="542" t="s">
        <v>1</v>
      </c>
      <c r="G224" s="542"/>
      <c r="H224" s="542"/>
      <c r="I224" s="406"/>
      <c r="J224" s="513"/>
      <c r="K224" s="406"/>
      <c r="M224" s="413"/>
      <c r="N224" s="210"/>
    </row>
    <row r="225" spans="1:21" ht="11.45" customHeight="1">
      <c r="A225" s="135" t="s">
        <v>103</v>
      </c>
      <c r="B225" s="135"/>
      <c r="C225" s="135"/>
      <c r="D225" s="135"/>
      <c r="E225" s="132"/>
      <c r="F225" s="277">
        <v>2016</v>
      </c>
      <c r="G225" s="214"/>
      <c r="H225" s="215">
        <v>2015</v>
      </c>
      <c r="I225" s="229"/>
      <c r="J225" s="47"/>
      <c r="K225" s="418"/>
      <c r="L225" s="132"/>
      <c r="M225" s="49"/>
      <c r="N225" s="49"/>
      <c r="O225" s="49"/>
      <c r="P225" s="49"/>
      <c r="Q225" s="49"/>
    </row>
    <row r="226" spans="1:21" ht="11.45" customHeight="1">
      <c r="A226" s="241"/>
      <c r="B226" s="241"/>
      <c r="C226" s="241"/>
      <c r="D226" s="241"/>
      <c r="E226" s="132"/>
      <c r="F226" s="422" t="s">
        <v>0</v>
      </c>
      <c r="G226" s="422"/>
      <c r="H226" s="422"/>
      <c r="I226" s="422"/>
      <c r="J226" s="49"/>
      <c r="K226" s="423"/>
      <c r="L226" s="132"/>
      <c r="M226" s="49"/>
      <c r="N226" s="59"/>
      <c r="O226" s="49"/>
      <c r="P226" s="49"/>
      <c r="Q226" s="49"/>
    </row>
    <row r="227" spans="1:21" ht="11.45" customHeight="1">
      <c r="A227" s="132"/>
      <c r="B227" s="185" t="s">
        <v>2</v>
      </c>
      <c r="C227" s="255"/>
      <c r="D227" s="255"/>
      <c r="E227" s="132"/>
      <c r="F227" s="147">
        <v>61.7</v>
      </c>
      <c r="G227" s="223"/>
      <c r="H227" s="147">
        <v>81.599999999999994</v>
      </c>
      <c r="I227" s="132"/>
      <c r="J227" s="49"/>
      <c r="K227" s="223"/>
      <c r="L227" s="223"/>
      <c r="M227" s="223"/>
      <c r="N227" s="235"/>
      <c r="O227" s="229"/>
      <c r="P227" s="129"/>
      <c r="Q227" s="49"/>
    </row>
    <row r="228" spans="1:21" ht="11.45" customHeight="1">
      <c r="A228" s="131"/>
      <c r="B228" s="185" t="s">
        <v>45</v>
      </c>
      <c r="C228" s="131"/>
      <c r="D228" s="131"/>
      <c r="E228" s="132"/>
      <c r="F228" s="147">
        <v>101</v>
      </c>
      <c r="G228" s="257"/>
      <c r="H228" s="147">
        <v>71.5</v>
      </c>
      <c r="I228" s="132"/>
      <c r="J228" s="49"/>
      <c r="K228" s="257"/>
      <c r="L228" s="224"/>
      <c r="M228" s="257"/>
      <c r="N228" s="236"/>
      <c r="O228" s="224"/>
      <c r="P228" s="129"/>
      <c r="Q228" s="49"/>
    </row>
    <row r="229" spans="1:21" ht="11.45" hidden="1" customHeight="1">
      <c r="A229" s="132"/>
      <c r="B229" s="185" t="s">
        <v>44</v>
      </c>
      <c r="C229" s="255"/>
      <c r="D229" s="255"/>
      <c r="E229" s="132"/>
      <c r="F229" s="147">
        <v>0</v>
      </c>
      <c r="G229" s="223"/>
      <c r="H229" s="147">
        <v>0</v>
      </c>
      <c r="I229" s="132"/>
      <c r="J229" s="49"/>
      <c r="K229" s="223"/>
      <c r="L229" s="223"/>
      <c r="M229" s="223"/>
      <c r="N229" s="235"/>
      <c r="O229" s="229"/>
      <c r="P229" s="129"/>
      <c r="Q229" s="49"/>
    </row>
    <row r="230" spans="1:21" ht="11.45" customHeight="1">
      <c r="A230" s="131"/>
      <c r="B230" s="185" t="s">
        <v>14</v>
      </c>
      <c r="C230" s="131"/>
      <c r="D230" s="131"/>
      <c r="E230" s="132"/>
      <c r="F230" s="147">
        <f>-37.8-1.023</f>
        <v>-38.823</v>
      </c>
      <c r="G230" s="257"/>
      <c r="H230" s="147">
        <v>-24.8</v>
      </c>
      <c r="I230" s="132"/>
      <c r="J230" s="419"/>
      <c r="K230" s="257"/>
      <c r="L230" s="224"/>
      <c r="M230" s="257"/>
      <c r="N230" s="236"/>
      <c r="O230" s="224"/>
      <c r="P230" s="129"/>
      <c r="Q230" s="49"/>
    </row>
    <row r="231" spans="1:21" ht="11.45" customHeight="1">
      <c r="A231" s="132"/>
      <c r="B231" s="185" t="s">
        <v>177</v>
      </c>
      <c r="C231" s="255"/>
      <c r="D231" s="255"/>
      <c r="E231" s="132"/>
      <c r="F231" s="147">
        <v>-1132</v>
      </c>
      <c r="G231" s="223"/>
      <c r="H231" s="147">
        <v>-1099.9000000000001</v>
      </c>
      <c r="I231" s="132"/>
      <c r="J231" s="49"/>
      <c r="K231" s="223"/>
      <c r="L231" s="223"/>
      <c r="M231" s="223"/>
      <c r="N231" s="235"/>
      <c r="O231" s="229"/>
      <c r="P231" s="129"/>
      <c r="Q231" s="49"/>
    </row>
    <row r="232" spans="1:21" ht="11.45" customHeight="1">
      <c r="A232" s="131"/>
      <c r="B232" s="185" t="s">
        <v>114</v>
      </c>
      <c r="C232" s="131"/>
      <c r="D232" s="131"/>
      <c r="E232" s="132"/>
      <c r="F232" s="147">
        <v>-21.6</v>
      </c>
      <c r="G232" s="257"/>
      <c r="H232" s="147">
        <v>-22.5</v>
      </c>
      <c r="I232" s="132"/>
      <c r="J232" s="49"/>
      <c r="K232" s="224"/>
      <c r="L232" s="224"/>
      <c r="M232" s="257"/>
      <c r="N232" s="236"/>
      <c r="O232" s="224"/>
      <c r="P232" s="129"/>
      <c r="Q232" s="49"/>
    </row>
    <row r="233" spans="1:21" s="58" customFormat="1" ht="11.45" customHeight="1">
      <c r="A233" s="134"/>
      <c r="B233" s="282" t="s">
        <v>43</v>
      </c>
      <c r="C233" s="134"/>
      <c r="D233" s="134"/>
      <c r="E233" s="283"/>
      <c r="F233" s="149">
        <f>SUM(F227:F232)</f>
        <v>-1029.723</v>
      </c>
      <c r="G233" s="257"/>
      <c r="H233" s="149">
        <f>SUM(H227:H232)-0.1</f>
        <v>-994.20000000000016</v>
      </c>
      <c r="I233" s="283"/>
      <c r="J233" s="420"/>
      <c r="K233" s="224"/>
      <c r="L233" s="224"/>
      <c r="M233" s="257"/>
      <c r="N233" s="236"/>
      <c r="O233" s="224"/>
      <c r="P233" s="443"/>
      <c r="Q233" s="420"/>
    </row>
    <row r="234" spans="1:21" ht="11.45" customHeight="1">
      <c r="A234" s="247"/>
      <c r="B234" s="250"/>
      <c r="C234" s="250"/>
      <c r="D234" s="250"/>
      <c r="E234" s="250"/>
      <c r="F234" s="332"/>
      <c r="G234" s="332"/>
      <c r="H234" s="332"/>
      <c r="I234" s="332"/>
      <c r="J234" s="332"/>
      <c r="K234" s="332"/>
      <c r="L234" s="131"/>
      <c r="M234" s="332">
        <f>K233-K227-K228-K229</f>
        <v>0</v>
      </c>
      <c r="N234" s="415"/>
      <c r="O234" s="49"/>
      <c r="P234" s="49"/>
      <c r="Q234" s="49"/>
      <c r="R234" s="49"/>
    </row>
    <row r="235" spans="1:21" ht="11.45" customHeight="1">
      <c r="A235" s="251" t="s">
        <v>0</v>
      </c>
      <c r="B235" s="157"/>
      <c r="C235" s="252"/>
      <c r="D235" s="228"/>
      <c r="E235" s="228"/>
      <c r="F235" s="237"/>
      <c r="G235" s="237"/>
      <c r="H235" s="237"/>
      <c r="I235" s="228"/>
      <c r="J235" s="228"/>
      <c r="K235" s="228"/>
      <c r="L235" s="237"/>
      <c r="M235" s="237"/>
      <c r="N235" s="239"/>
      <c r="O235" s="235"/>
      <c r="P235" s="237"/>
      <c r="Q235" s="49"/>
      <c r="R235" s="49"/>
    </row>
    <row r="236" spans="1:21" s="41" customFormat="1" ht="15" customHeight="1">
      <c r="A236" s="205" t="s">
        <v>203</v>
      </c>
      <c r="B236" s="208"/>
      <c r="C236" s="208"/>
      <c r="D236" s="208"/>
      <c r="E236" s="206"/>
      <c r="F236" s="206" t="s">
        <v>0</v>
      </c>
      <c r="G236" s="206"/>
      <c r="H236" s="206" t="s">
        <v>0</v>
      </c>
      <c r="I236" s="206"/>
      <c r="J236" s="206"/>
      <c r="K236" s="206"/>
      <c r="L236" s="206" t="s">
        <v>0</v>
      </c>
      <c r="M236" s="207"/>
      <c r="N236" s="207"/>
      <c r="O236" s="425"/>
      <c r="P236" s="426"/>
      <c r="Q236" s="427"/>
      <c r="R236" s="427"/>
      <c r="S236" s="80"/>
      <c r="T236" s="80"/>
      <c r="U236" s="79"/>
    </row>
    <row r="237" spans="1:21" ht="11.45" customHeight="1">
      <c r="A237" s="251"/>
      <c r="B237" s="157"/>
      <c r="C237" s="252"/>
      <c r="D237" s="228"/>
      <c r="E237" s="228"/>
      <c r="F237" s="237"/>
      <c r="G237" s="237"/>
      <c r="H237" s="237"/>
      <c r="I237" s="228"/>
      <c r="J237" s="228"/>
      <c r="K237" s="228"/>
      <c r="L237" s="237"/>
      <c r="M237" s="237"/>
      <c r="N237" s="239"/>
      <c r="O237" s="235"/>
      <c r="P237" s="237"/>
      <c r="Q237" s="49"/>
      <c r="R237" s="49"/>
    </row>
    <row r="238" spans="1:21" ht="11.45" customHeight="1" thickBot="1">
      <c r="A238" s="294" t="s">
        <v>28</v>
      </c>
      <c r="B238" s="189"/>
      <c r="C238" s="209"/>
      <c r="D238" s="209"/>
      <c r="E238" s="209"/>
      <c r="F238" s="261"/>
      <c r="G238" s="262"/>
      <c r="H238" s="263"/>
      <c r="I238" s="209"/>
      <c r="J238" s="209"/>
      <c r="K238" s="209"/>
      <c r="L238" s="263"/>
      <c r="M238" s="262"/>
      <c r="N238" s="262"/>
      <c r="O238" s="257"/>
      <c r="P238" s="224"/>
      <c r="Q238" s="129"/>
      <c r="R238" s="49"/>
    </row>
    <row r="239" spans="1:21" ht="11.45" customHeight="1">
      <c r="A239" s="264" t="s">
        <v>0</v>
      </c>
      <c r="B239" s="255"/>
      <c r="C239" s="248"/>
      <c r="D239" s="248"/>
      <c r="E239" s="248"/>
      <c r="F239" s="540" t="s">
        <v>5</v>
      </c>
      <c r="G239" s="540"/>
      <c r="H239" s="540"/>
      <c r="I239" s="248"/>
      <c r="J239" s="540" t="s">
        <v>20</v>
      </c>
      <c r="K239" s="540"/>
      <c r="L239" s="540"/>
      <c r="M239" s="466"/>
      <c r="N239" s="406"/>
      <c r="O239" s="229"/>
      <c r="P239" s="415"/>
      <c r="Q239" s="49"/>
      <c r="R239" s="49"/>
    </row>
    <row r="240" spans="1:21" ht="11.45" customHeight="1">
      <c r="A240" s="247"/>
      <c r="B240" s="255"/>
      <c r="C240" s="248"/>
      <c r="D240" s="248"/>
      <c r="E240" s="248"/>
      <c r="F240" s="541" t="s">
        <v>1</v>
      </c>
      <c r="G240" s="541"/>
      <c r="H240" s="541"/>
      <c r="I240" s="248"/>
      <c r="J240" s="541" t="s">
        <v>1</v>
      </c>
      <c r="K240" s="541"/>
      <c r="L240" s="541"/>
      <c r="M240" s="467"/>
      <c r="N240" s="406"/>
      <c r="O240" s="229"/>
      <c r="P240" s="415"/>
      <c r="Q240" s="49"/>
      <c r="R240" s="49"/>
    </row>
    <row r="241" spans="1:22" ht="11.45" customHeight="1">
      <c r="A241" s="264" t="s">
        <v>0</v>
      </c>
      <c r="B241" s="264"/>
      <c r="C241" s="169"/>
      <c r="D241" s="265"/>
      <c r="E241" s="169"/>
      <c r="F241" s="277">
        <v>2016</v>
      </c>
      <c r="G241" s="214"/>
      <c r="H241" s="215">
        <v>2015</v>
      </c>
      <c r="I241" s="169"/>
      <c r="J241" s="386">
        <v>2016</v>
      </c>
      <c r="K241" s="210"/>
      <c r="L241" s="215">
        <v>2015</v>
      </c>
      <c r="M241" s="214"/>
      <c r="N241" s="418"/>
      <c r="O241" s="266"/>
      <c r="P241" s="266"/>
      <c r="Q241" s="49"/>
      <c r="R241" s="49"/>
    </row>
    <row r="242" spans="1:22" ht="11.45" customHeight="1">
      <c r="A242" s="165" t="s">
        <v>29</v>
      </c>
      <c r="B242" s="174"/>
      <c r="C242" s="264"/>
      <c r="D242" s="267"/>
      <c r="E242" s="264"/>
      <c r="F242" s="380">
        <v>-0.61</v>
      </c>
      <c r="G242" s="356"/>
      <c r="H242" s="269">
        <v>-1.48</v>
      </c>
      <c r="I242" s="357"/>
      <c r="J242" s="380">
        <v>-1.21</v>
      </c>
      <c r="K242" s="357"/>
      <c r="L242" s="269">
        <v>-2.4300000000000002</v>
      </c>
      <c r="M242" s="268"/>
      <c r="N242" s="444"/>
      <c r="O242" s="266"/>
      <c r="P242" s="266"/>
      <c r="Q242" s="49"/>
      <c r="R242" s="49"/>
    </row>
    <row r="243" spans="1:22" ht="11.45" customHeight="1">
      <c r="A243" s="270" t="s">
        <v>105</v>
      </c>
      <c r="B243" s="270"/>
      <c r="C243" s="271"/>
      <c r="D243" s="270"/>
      <c r="E243" s="148"/>
      <c r="F243" s="272">
        <v>-0.61</v>
      </c>
      <c r="G243" s="341"/>
      <c r="H243" s="272">
        <v>-1.47</v>
      </c>
      <c r="I243" s="343"/>
      <c r="J243" s="272">
        <v>-1.21</v>
      </c>
      <c r="K243" s="343"/>
      <c r="L243" s="272">
        <v>-2.42</v>
      </c>
      <c r="M243" s="147"/>
      <c r="N243" s="444"/>
      <c r="O243" s="273"/>
      <c r="P243" s="273"/>
      <c r="Q243" s="49"/>
      <c r="R243" s="49"/>
      <c r="S243" s="49"/>
    </row>
    <row r="244" spans="1:22" ht="11.45" customHeight="1">
      <c r="A244" s="274" t="s">
        <v>41</v>
      </c>
      <c r="B244" s="198"/>
      <c r="C244" s="275"/>
      <c r="D244" s="183"/>
      <c r="E244" s="275"/>
      <c r="F244" s="280">
        <v>254687364</v>
      </c>
      <c r="G244" s="281"/>
      <c r="H244" s="266">
        <v>226143123</v>
      </c>
      <c r="I244" s="281"/>
      <c r="J244" s="280">
        <v>242555132</v>
      </c>
      <c r="K244" s="275"/>
      <c r="L244" s="266">
        <v>217310643</v>
      </c>
      <c r="M244" s="281"/>
      <c r="N244" s="266"/>
      <c r="O244" s="445"/>
      <c r="P244" s="445"/>
      <c r="Q244" s="49"/>
      <c r="R244" s="49"/>
    </row>
    <row r="245" spans="1:22" ht="11.45" customHeight="1">
      <c r="A245" s="274" t="s">
        <v>106</v>
      </c>
      <c r="B245" s="198"/>
      <c r="C245" s="275"/>
      <c r="D245" s="183"/>
      <c r="E245" s="275"/>
      <c r="F245" s="280">
        <v>255821720</v>
      </c>
      <c r="G245" s="281"/>
      <c r="H245" s="266">
        <v>227036772</v>
      </c>
      <c r="I245" s="281"/>
      <c r="J245" s="280">
        <v>243643599</v>
      </c>
      <c r="K245" s="275"/>
      <c r="L245" s="266">
        <v>218441710</v>
      </c>
      <c r="M245" s="281"/>
      <c r="N245" s="266"/>
      <c r="O245" s="445"/>
      <c r="P245" s="445"/>
      <c r="Q245" s="49"/>
      <c r="R245" s="49"/>
    </row>
    <row r="246" spans="1:22" ht="11.45" customHeight="1">
      <c r="A246" s="274"/>
      <c r="B246" s="198"/>
      <c r="C246" s="275"/>
      <c r="D246" s="183"/>
      <c r="E246" s="275"/>
      <c r="F246" s="280"/>
      <c r="G246" s="281"/>
      <c r="H246" s="266"/>
      <c r="I246" s="275"/>
      <c r="J246" s="275"/>
      <c r="K246" s="275"/>
      <c r="L246" s="266"/>
      <c r="M246" s="281"/>
      <c r="N246" s="266"/>
      <c r="O246" s="445"/>
      <c r="P246" s="445"/>
      <c r="Q246" s="49"/>
      <c r="R246" s="49"/>
    </row>
    <row r="247" spans="1:22" ht="11.45" customHeight="1">
      <c r="A247" s="274"/>
      <c r="B247" s="198"/>
      <c r="C247" s="275"/>
      <c r="D247" s="183"/>
      <c r="E247" s="275"/>
      <c r="F247" s="280"/>
      <c r="G247" s="281"/>
      <c r="H247" s="266"/>
      <c r="I247" s="275"/>
      <c r="J247" s="275"/>
      <c r="K247" s="275"/>
      <c r="L247" s="266"/>
      <c r="M247" s="281"/>
      <c r="N247" s="266"/>
      <c r="O247" s="445"/>
      <c r="P247" s="445"/>
      <c r="Q247" s="49"/>
      <c r="R247" s="49"/>
    </row>
    <row r="248" spans="1:22" s="41" customFormat="1" ht="15" customHeight="1">
      <c r="A248" s="205" t="s">
        <v>208</v>
      </c>
      <c r="B248" s="208"/>
      <c r="C248" s="208"/>
      <c r="D248" s="208"/>
      <c r="E248" s="206"/>
      <c r="F248" s="206"/>
      <c r="G248" s="206"/>
      <c r="H248" s="206"/>
      <c r="I248" s="206"/>
      <c r="J248" s="206"/>
      <c r="K248" s="206"/>
      <c r="L248" s="206"/>
      <c r="M248" s="207"/>
      <c r="N248" s="207"/>
      <c r="O248" s="425"/>
      <c r="P248" s="426"/>
      <c r="Q248" s="427"/>
      <c r="R248" s="427"/>
      <c r="S248" s="80"/>
      <c r="T248" s="80"/>
      <c r="U248" s="79"/>
    </row>
    <row r="249" spans="1:22" ht="11.45" customHeight="1">
      <c r="A249" s="274"/>
      <c r="B249" s="198"/>
      <c r="C249" s="275"/>
      <c r="D249" s="183"/>
      <c r="E249" s="275"/>
      <c r="F249" s="280"/>
      <c r="G249" s="281"/>
      <c r="H249" s="266"/>
      <c r="I249" s="275"/>
      <c r="J249" s="275"/>
      <c r="K249" s="275"/>
      <c r="L249" s="266"/>
      <c r="M249" s="281"/>
      <c r="N249" s="266"/>
      <c r="O249" s="445"/>
      <c r="P249" s="445"/>
      <c r="Q249" s="49"/>
      <c r="R249" s="49"/>
    </row>
    <row r="250" spans="1:22" s="41" customFormat="1" ht="11.45" customHeight="1" thickBot="1">
      <c r="A250" s="209" t="s">
        <v>209</v>
      </c>
      <c r="B250" s="209"/>
      <c r="C250" s="209"/>
      <c r="D250" s="253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35"/>
      <c r="P250" s="239"/>
      <c r="Q250" s="59"/>
      <c r="R250" s="442"/>
      <c r="S250" s="69"/>
      <c r="T250" s="69"/>
      <c r="U250" s="69"/>
      <c r="V250" s="60"/>
    </row>
    <row r="251" spans="1:22" s="76" customFormat="1" ht="11.45" customHeight="1">
      <c r="A251" s="210"/>
      <c r="B251" s="210"/>
      <c r="C251" s="210"/>
      <c r="D251" s="210"/>
      <c r="E251" s="210"/>
      <c r="F251" s="540" t="s">
        <v>5</v>
      </c>
      <c r="G251" s="540"/>
      <c r="H251" s="540"/>
      <c r="I251" s="210"/>
      <c r="J251" s="540" t="s">
        <v>20</v>
      </c>
      <c r="K251" s="540"/>
      <c r="L251" s="540"/>
      <c r="M251" s="466"/>
      <c r="N251" s="406"/>
      <c r="O251" s="413"/>
      <c r="P251" s="210"/>
    </row>
    <row r="252" spans="1:22" s="76" customFormat="1" ht="11.45" customHeight="1">
      <c r="A252" s="210"/>
      <c r="B252" s="210"/>
      <c r="C252" s="210"/>
      <c r="D252" s="210"/>
      <c r="E252" s="210"/>
      <c r="F252" s="541" t="s">
        <v>1</v>
      </c>
      <c r="G252" s="541"/>
      <c r="H252" s="541"/>
      <c r="I252" s="210"/>
      <c r="J252" s="541" t="s">
        <v>1</v>
      </c>
      <c r="K252" s="541"/>
      <c r="L252" s="541"/>
      <c r="M252" s="467"/>
      <c r="N252" s="406"/>
      <c r="O252" s="413"/>
      <c r="P252" s="210"/>
    </row>
    <row r="253" spans="1:22" ht="11.45" customHeight="1">
      <c r="A253" s="226" t="s">
        <v>103</v>
      </c>
      <c r="B253" s="135"/>
      <c r="C253" s="135"/>
      <c r="D253" s="135"/>
      <c r="E253" s="132"/>
      <c r="F253" s="277">
        <v>2016</v>
      </c>
      <c r="G253" s="214"/>
      <c r="H253" s="215">
        <v>2015</v>
      </c>
      <c r="I253" s="132"/>
      <c r="J253" s="386">
        <v>2016</v>
      </c>
      <c r="K253" s="210"/>
      <c r="L253" s="215">
        <v>2015</v>
      </c>
      <c r="M253" s="214"/>
      <c r="N253" s="418"/>
      <c r="O253" s="230" t="s">
        <v>0</v>
      </c>
      <c r="P253" s="230"/>
      <c r="Q253" s="446"/>
      <c r="R253" s="49"/>
    </row>
    <row r="254" spans="1:22" ht="11.45" customHeight="1">
      <c r="A254" s="241"/>
      <c r="B254" s="241"/>
      <c r="C254" s="241"/>
      <c r="D254" s="241"/>
      <c r="E254" s="132"/>
      <c r="F254" s="158"/>
      <c r="G254" s="158"/>
      <c r="H254" s="158"/>
      <c r="I254" s="132"/>
      <c r="J254" s="132"/>
      <c r="K254" s="132"/>
      <c r="L254" s="158"/>
      <c r="M254" s="158"/>
      <c r="N254" s="158"/>
      <c r="O254" s="158"/>
      <c r="P254" s="158"/>
      <c r="Q254" s="129"/>
      <c r="R254" s="49"/>
    </row>
    <row r="255" spans="1:22" ht="11.45" customHeight="1">
      <c r="A255" s="132"/>
      <c r="B255" s="132" t="s">
        <v>160</v>
      </c>
      <c r="C255" s="132"/>
      <c r="D255" s="132"/>
      <c r="E255" s="132"/>
      <c r="F255" s="147">
        <v>22.8</v>
      </c>
      <c r="G255" s="254"/>
      <c r="H255" s="147">
        <v>4</v>
      </c>
      <c r="I255" s="259"/>
      <c r="J255" s="147">
        <f>-55.6+F255</f>
        <v>-32.799999999999997</v>
      </c>
      <c r="K255" s="259"/>
      <c r="L255" s="147">
        <v>3</v>
      </c>
      <c r="M255" s="222"/>
      <c r="N255" s="222"/>
      <c r="O255" s="222"/>
      <c r="P255" s="222"/>
      <c r="Q255" s="129"/>
      <c r="R255" s="49"/>
    </row>
    <row r="256" spans="1:22" ht="11.45" customHeight="1">
      <c r="A256" s="132"/>
      <c r="B256" s="185" t="s">
        <v>161</v>
      </c>
      <c r="C256" s="255"/>
      <c r="D256" s="255"/>
      <c r="E256" s="132"/>
      <c r="F256" s="147">
        <v>-9.4</v>
      </c>
      <c r="G256" s="256"/>
      <c r="H256" s="147">
        <v>-1.9</v>
      </c>
      <c r="I256" s="259"/>
      <c r="J256" s="147">
        <f>9.5+F256</f>
        <v>9.9999999999999645E-2</v>
      </c>
      <c r="K256" s="259"/>
      <c r="L256" s="147">
        <v>-1.7</v>
      </c>
      <c r="M256" s="223"/>
      <c r="N256" s="223"/>
      <c r="O256" s="223"/>
      <c r="P256" s="223"/>
      <c r="Q256" s="129"/>
      <c r="R256" s="49"/>
    </row>
    <row r="257" spans="1:18" s="58" customFormat="1" ht="11.45" customHeight="1">
      <c r="A257" s="134"/>
      <c r="B257" s="282" t="s">
        <v>131</v>
      </c>
      <c r="C257" s="134"/>
      <c r="D257" s="134"/>
      <c r="E257" s="283"/>
      <c r="F257" s="149">
        <f>SUM(F255:F256)</f>
        <v>13.4</v>
      </c>
      <c r="G257" s="359"/>
      <c r="H257" s="149">
        <f>SUM(H255:H256)</f>
        <v>2.1</v>
      </c>
      <c r="I257" s="360"/>
      <c r="J257" s="389">
        <f>SUM(J255:J256)</f>
        <v>-32.699999999999996</v>
      </c>
      <c r="K257" s="360"/>
      <c r="L257" s="149">
        <f>SUM(L255:L256)</f>
        <v>1.3</v>
      </c>
      <c r="M257" s="257"/>
      <c r="N257" s="224"/>
      <c r="O257" s="257"/>
      <c r="P257" s="224"/>
      <c r="Q257" s="443"/>
      <c r="R257" s="420"/>
    </row>
    <row r="258" spans="1:18" ht="11.45" customHeight="1">
      <c r="A258" s="258"/>
      <c r="B258" s="191" t="s">
        <v>162</v>
      </c>
      <c r="C258" s="157"/>
      <c r="D258" s="157"/>
      <c r="E258" s="204"/>
      <c r="F258" s="147"/>
      <c r="G258" s="361"/>
      <c r="H258" s="341"/>
      <c r="I258" s="344"/>
      <c r="J258" s="344"/>
      <c r="K258" s="344"/>
      <c r="L258" s="147"/>
      <c r="M258" s="279"/>
      <c r="N258" s="447"/>
      <c r="O258" s="279"/>
      <c r="P258" s="448"/>
      <c r="Q258" s="129"/>
      <c r="R258" s="49"/>
    </row>
    <row r="259" spans="1:18" ht="11.45" customHeight="1">
      <c r="A259" s="132" t="s">
        <v>0</v>
      </c>
      <c r="B259" s="186" t="s">
        <v>153</v>
      </c>
      <c r="C259" s="157"/>
      <c r="D259" s="157"/>
      <c r="E259" s="132"/>
      <c r="F259" s="147">
        <v>-2</v>
      </c>
      <c r="G259" s="259"/>
      <c r="H259" s="341">
        <v>-1.1000000000000001</v>
      </c>
      <c r="I259" s="259"/>
      <c r="J259" s="147">
        <f>2.5+F259</f>
        <v>0.5</v>
      </c>
      <c r="K259" s="259"/>
      <c r="L259" s="147">
        <v>-1.1000000000000001</v>
      </c>
      <c r="M259" s="132"/>
      <c r="N259" s="415"/>
      <c r="O259" s="132"/>
      <c r="P259" s="132"/>
      <c r="Q259" s="129"/>
      <c r="R259" s="49"/>
    </row>
    <row r="260" spans="1:18" ht="11.45" customHeight="1">
      <c r="A260" s="132"/>
      <c r="B260" s="255" t="s">
        <v>166</v>
      </c>
      <c r="C260" s="132"/>
      <c r="D260" s="132"/>
      <c r="E260" s="132"/>
      <c r="F260" s="147">
        <v>0.1</v>
      </c>
      <c r="G260" s="254"/>
      <c r="H260" s="341">
        <v>0</v>
      </c>
      <c r="I260" s="259"/>
      <c r="J260" s="147">
        <f>-0.1+F260</f>
        <v>0</v>
      </c>
      <c r="K260" s="259"/>
      <c r="L260" s="147">
        <v>0</v>
      </c>
      <c r="M260" s="222"/>
      <c r="N260" s="222"/>
      <c r="O260" s="222"/>
      <c r="P260" s="221"/>
      <c r="Q260" s="129"/>
      <c r="R260" s="49"/>
    </row>
    <row r="261" spans="1:18" ht="11.45" hidden="1" customHeight="1">
      <c r="A261" s="132"/>
      <c r="B261" s="185" t="s">
        <v>163</v>
      </c>
      <c r="C261" s="255"/>
      <c r="D261" s="255"/>
      <c r="E261" s="132"/>
      <c r="F261" s="147">
        <v>0</v>
      </c>
      <c r="G261" s="256"/>
      <c r="H261" s="341">
        <v>0</v>
      </c>
      <c r="I261" s="259"/>
      <c r="J261" s="147">
        <v>0</v>
      </c>
      <c r="K261" s="259"/>
      <c r="L261" s="147">
        <v>0</v>
      </c>
      <c r="M261" s="223"/>
      <c r="N261" s="223"/>
      <c r="O261" s="223"/>
      <c r="P261" s="229"/>
      <c r="Q261" s="129"/>
      <c r="R261" s="49"/>
    </row>
    <row r="262" spans="1:18" ht="11.45" customHeight="1">
      <c r="A262" s="247"/>
      <c r="B262" s="449" t="s">
        <v>210</v>
      </c>
      <c r="C262" s="248"/>
      <c r="D262" s="248"/>
      <c r="E262" s="248"/>
      <c r="F262" s="147"/>
      <c r="G262" s="341"/>
      <c r="H262" s="147" t="s">
        <v>0</v>
      </c>
      <c r="I262" s="364"/>
      <c r="J262" s="147" t="s">
        <v>0</v>
      </c>
      <c r="K262" s="364"/>
      <c r="L262" s="147" t="s">
        <v>0</v>
      </c>
      <c r="M262" s="147"/>
      <c r="N262" s="147"/>
      <c r="O262" s="229"/>
      <c r="P262" s="415"/>
      <c r="Q262" s="49"/>
      <c r="R262" s="49"/>
    </row>
    <row r="263" spans="1:18" ht="11.45" customHeight="1">
      <c r="A263" s="247"/>
      <c r="B263" s="186" t="s">
        <v>153</v>
      </c>
      <c r="C263" s="248"/>
      <c r="D263" s="248"/>
      <c r="E263" s="248"/>
      <c r="F263" s="147">
        <v>-0.2</v>
      </c>
      <c r="G263" s="341"/>
      <c r="H263" s="147">
        <v>0</v>
      </c>
      <c r="I263" s="364"/>
      <c r="J263" s="147">
        <f>-0.4+F263</f>
        <v>-0.60000000000000009</v>
      </c>
      <c r="K263" s="364"/>
      <c r="L263" s="147">
        <v>0</v>
      </c>
      <c r="M263" s="147"/>
      <c r="N263" s="147"/>
      <c r="O263" s="229"/>
      <c r="P263" s="415"/>
      <c r="Q263" s="49"/>
      <c r="R263" s="49"/>
    </row>
    <row r="264" spans="1:18" ht="11.45" customHeight="1">
      <c r="A264" s="247"/>
      <c r="B264" s="255" t="s">
        <v>166</v>
      </c>
      <c r="C264" s="248"/>
      <c r="D264" s="248"/>
      <c r="E264" s="248"/>
      <c r="F264" s="147">
        <v>0.9</v>
      </c>
      <c r="G264" s="341"/>
      <c r="H264" s="147">
        <v>0</v>
      </c>
      <c r="I264" s="364"/>
      <c r="J264" s="147">
        <f>F264-0.3</f>
        <v>0.60000000000000009</v>
      </c>
      <c r="K264" s="364"/>
      <c r="L264" s="147">
        <v>0</v>
      </c>
      <c r="M264" s="147"/>
      <c r="N264" s="147"/>
      <c r="O264" s="229"/>
      <c r="P264" s="415"/>
      <c r="Q264" s="49"/>
      <c r="R264" s="49"/>
    </row>
    <row r="265" spans="1:18" ht="11.45" customHeight="1">
      <c r="A265" s="260"/>
      <c r="B265" s="297" t="s">
        <v>164</v>
      </c>
      <c r="C265" s="250"/>
      <c r="D265" s="250"/>
      <c r="E265" s="250"/>
      <c r="F265" s="147">
        <v>-0.8</v>
      </c>
      <c r="G265" s="362"/>
      <c r="H265" s="147">
        <v>-1.8</v>
      </c>
      <c r="I265" s="363"/>
      <c r="J265" s="147">
        <f>-0.6+F265</f>
        <v>-1.4</v>
      </c>
      <c r="K265" s="363"/>
      <c r="L265" s="147">
        <v>-0.8</v>
      </c>
      <c r="M265" s="235"/>
      <c r="N265" s="229"/>
      <c r="O265" s="229"/>
      <c r="P265" s="415"/>
      <c r="Q265" s="49"/>
      <c r="R265" s="49"/>
    </row>
    <row r="266" spans="1:18" ht="11.45" customHeight="1">
      <c r="A266" s="247"/>
      <c r="B266" s="191" t="s">
        <v>165</v>
      </c>
      <c r="C266" s="248"/>
      <c r="D266" s="248"/>
      <c r="E266" s="248"/>
      <c r="F266" s="147">
        <v>0</v>
      </c>
      <c r="G266" s="341"/>
      <c r="H266" s="147">
        <v>0.1</v>
      </c>
      <c r="I266" s="364"/>
      <c r="J266" s="147">
        <f>0+F266</f>
        <v>0</v>
      </c>
      <c r="K266" s="364"/>
      <c r="L266" s="147">
        <v>-0.5</v>
      </c>
      <c r="M266" s="147"/>
      <c r="N266" s="147"/>
      <c r="O266" s="229"/>
      <c r="P266" s="415"/>
      <c r="Q266" s="49"/>
      <c r="R266" s="49"/>
    </row>
    <row r="267" spans="1:18" s="58" customFormat="1" ht="11.45" customHeight="1">
      <c r="A267" s="134"/>
      <c r="B267" s="282" t="s">
        <v>167</v>
      </c>
      <c r="C267" s="134"/>
      <c r="D267" s="134"/>
      <c r="E267" s="283"/>
      <c r="F267" s="149">
        <f>SUM(F259:F266)</f>
        <v>-2</v>
      </c>
      <c r="G267" s="257"/>
      <c r="H267" s="149">
        <f>SUM(H259:H266)</f>
        <v>-2.8000000000000003</v>
      </c>
      <c r="I267" s="283"/>
      <c r="J267" s="390">
        <f>SUM(J259:J266)</f>
        <v>-0.89999999999999991</v>
      </c>
      <c r="K267" s="283"/>
      <c r="L267" s="149">
        <f>SUM(L259:L266)</f>
        <v>-2.4000000000000004</v>
      </c>
      <c r="M267" s="257"/>
      <c r="N267" s="224"/>
      <c r="O267" s="257"/>
      <c r="P267" s="224"/>
      <c r="Q267" s="443"/>
      <c r="R267" s="420" t="s">
        <v>0</v>
      </c>
    </row>
    <row r="268" spans="1:18" ht="11.1" customHeight="1">
      <c r="A268" s="131"/>
      <c r="B268" s="185"/>
      <c r="C268" s="131"/>
      <c r="D268" s="131"/>
      <c r="E268" s="132"/>
      <c r="F268" s="146"/>
      <c r="G268" s="257"/>
      <c r="H268" s="148"/>
      <c r="I268" s="132"/>
      <c r="J268" s="132"/>
      <c r="K268" s="132"/>
      <c r="L268" s="257"/>
      <c r="M268" s="148"/>
      <c r="N268" s="224"/>
      <c r="O268" s="257"/>
      <c r="P268" s="224"/>
      <c r="Q268" s="129"/>
      <c r="R268" s="49"/>
    </row>
    <row r="269" spans="1:18" ht="15">
      <c r="A269" s="274"/>
      <c r="B269" s="198"/>
      <c r="C269" s="275"/>
      <c r="D269" s="183"/>
      <c r="E269" s="275"/>
      <c r="F269" s="266"/>
      <c r="G269" s="275"/>
      <c r="H269" s="266"/>
      <c r="I269" s="275"/>
      <c r="J269" s="275"/>
      <c r="K269" s="275"/>
      <c r="L269" s="275"/>
      <c r="M269" s="266"/>
      <c r="N269" s="266"/>
      <c r="O269" s="445"/>
      <c r="P269" s="445"/>
      <c r="Q269" s="49"/>
      <c r="R269" s="49"/>
    </row>
    <row r="270" spans="1:18" ht="18.75">
      <c r="A270" s="205" t="s">
        <v>261</v>
      </c>
      <c r="B270" s="208"/>
      <c r="C270" s="453"/>
      <c r="D270" s="453"/>
      <c r="E270" s="453"/>
      <c r="F270" s="453"/>
      <c r="G270" s="453"/>
      <c r="H270" s="453"/>
      <c r="I270" s="453"/>
      <c r="J270" s="275"/>
      <c r="K270" s="275"/>
      <c r="L270" s="275"/>
      <c r="M270" s="266"/>
      <c r="N270" s="373"/>
      <c r="O270" s="276"/>
      <c r="P270" s="276"/>
    </row>
    <row r="271" spans="1:18" ht="15.75" thickBot="1">
      <c r="A271" s="209"/>
      <c r="B271" s="209"/>
      <c r="C271" s="209"/>
      <c r="D271" s="253"/>
      <c r="E271" s="240"/>
      <c r="F271" s="240"/>
      <c r="G271" s="240"/>
      <c r="H271" s="240"/>
      <c r="I271" s="240"/>
      <c r="J271" s="240"/>
      <c r="K271" s="240"/>
      <c r="L271" s="240"/>
      <c r="M271" s="240"/>
      <c r="N271" s="240"/>
      <c r="O271" s="235"/>
      <c r="P271" s="276"/>
    </row>
    <row r="272" spans="1:18" s="76" customFormat="1" ht="11.45" customHeight="1">
      <c r="A272" s="210"/>
      <c r="B272" s="210"/>
      <c r="C272" s="210"/>
      <c r="D272" s="210"/>
      <c r="E272" s="210"/>
      <c r="F272" s="540" t="s">
        <v>5</v>
      </c>
      <c r="G272" s="540"/>
      <c r="H272" s="540"/>
      <c r="I272" s="210"/>
      <c r="J272" s="540" t="s">
        <v>20</v>
      </c>
      <c r="K272" s="540"/>
      <c r="L272" s="540"/>
      <c r="M272" s="502"/>
      <c r="N272" s="406"/>
      <c r="O272" s="413"/>
      <c r="P272" s="210"/>
    </row>
    <row r="273" spans="1:18" s="76" customFormat="1" ht="11.45" customHeight="1">
      <c r="A273" s="210"/>
      <c r="B273" s="210"/>
      <c r="C273" s="210"/>
      <c r="D273" s="210"/>
      <c r="E273" s="210"/>
      <c r="F273" s="541" t="s">
        <v>1</v>
      </c>
      <c r="G273" s="541"/>
      <c r="H273" s="541"/>
      <c r="I273" s="210"/>
      <c r="J273" s="541" t="s">
        <v>1</v>
      </c>
      <c r="K273" s="541"/>
      <c r="L273" s="541"/>
      <c r="M273" s="503"/>
      <c r="N273" s="406"/>
      <c r="O273" s="413"/>
      <c r="P273" s="210"/>
    </row>
    <row r="274" spans="1:18" ht="11.45" customHeight="1">
      <c r="A274" s="226" t="s">
        <v>103</v>
      </c>
      <c r="B274" s="135"/>
      <c r="C274" s="135"/>
      <c r="D274" s="135"/>
      <c r="E274" s="132"/>
      <c r="F274" s="277">
        <v>2016</v>
      </c>
      <c r="G274" s="214"/>
      <c r="H274" s="215">
        <v>2015</v>
      </c>
      <c r="I274" s="132"/>
      <c r="J274" s="386">
        <v>2016</v>
      </c>
      <c r="K274" s="210"/>
      <c r="L274" s="215">
        <v>2015</v>
      </c>
      <c r="M274" s="214"/>
      <c r="N274" s="418"/>
      <c r="O274" s="230"/>
      <c r="P274" s="230"/>
      <c r="Q274" s="446"/>
      <c r="R274" s="49"/>
    </row>
    <row r="275" spans="1:18" s="508" customFormat="1" ht="12" customHeight="1">
      <c r="A275" s="504"/>
      <c r="B275" s="462" t="s">
        <v>219</v>
      </c>
      <c r="C275" s="457"/>
      <c r="D275" s="459"/>
      <c r="E275" s="457">
        <v>16.7</v>
      </c>
      <c r="F275" s="464">
        <f>+'IS &amp; OCI'!F17</f>
        <v>-92.426000000000045</v>
      </c>
      <c r="G275" s="464">
        <v>-67.900000000000006</v>
      </c>
      <c r="H275" s="465">
        <v>-332.9</v>
      </c>
      <c r="I275" s="465">
        <f t="shared" ref="I275:I279" si="0">F275-G275+H275</f>
        <v>-357.42600000000004</v>
      </c>
      <c r="J275" s="465">
        <f>+'IS &amp; OCI'!J17</f>
        <v>-180.26900000000001</v>
      </c>
      <c r="K275" s="465">
        <v>-67.900000000000006</v>
      </c>
      <c r="L275" s="465">
        <v>-430.4</v>
      </c>
      <c r="M275" s="505"/>
      <c r="N275" s="506"/>
      <c r="O275" s="507"/>
      <c r="P275" s="507"/>
    </row>
    <row r="276" spans="1:18" s="508" customFormat="1" ht="11.25" customHeight="1">
      <c r="B276" s="162" t="s">
        <v>249</v>
      </c>
      <c r="C276" s="457"/>
      <c r="D276" s="459"/>
      <c r="E276" s="457">
        <v>-0.7</v>
      </c>
      <c r="F276" s="457">
        <f>-'IS &amp; OCI'!F15</f>
        <v>-1.8650000000000002</v>
      </c>
      <c r="G276" s="457">
        <v>7.4</v>
      </c>
      <c r="H276" s="458">
        <v>35.1</v>
      </c>
      <c r="I276" s="458">
        <f t="shared" si="0"/>
        <v>25.835000000000001</v>
      </c>
      <c r="J276" s="458">
        <f>-'IS &amp; OCI'!J15</f>
        <v>0.6</v>
      </c>
      <c r="K276" s="458">
        <v>7.4</v>
      </c>
      <c r="L276" s="458">
        <v>49</v>
      </c>
      <c r="N276" s="509"/>
      <c r="O276" s="510"/>
      <c r="P276" s="511"/>
    </row>
    <row r="277" spans="1:18" s="508" customFormat="1" ht="11.25" customHeight="1">
      <c r="B277" s="162" t="s">
        <v>238</v>
      </c>
      <c r="C277" s="457"/>
      <c r="D277" s="459"/>
      <c r="E277" s="457"/>
      <c r="F277" s="457">
        <f>-'IS &amp; OCI'!F12</f>
        <v>97.552999999999997</v>
      </c>
      <c r="G277" s="457"/>
      <c r="H277" s="458">
        <v>204.3</v>
      </c>
      <c r="I277" s="458"/>
      <c r="J277" s="458">
        <f>-'IS &amp; OCI'!J12</f>
        <v>323.93100000000004</v>
      </c>
      <c r="K277" s="458"/>
      <c r="L277" s="458">
        <v>430.1</v>
      </c>
      <c r="N277" s="509"/>
      <c r="O277" s="510"/>
      <c r="P277" s="511"/>
    </row>
    <row r="278" spans="1:18" s="508" customFormat="1" ht="11.25" customHeight="1">
      <c r="B278" s="162" t="s">
        <v>236</v>
      </c>
      <c r="C278" s="457"/>
      <c r="D278" s="459"/>
      <c r="E278" s="459">
        <v>525.4</v>
      </c>
      <c r="F278" s="459">
        <f>-'IS &amp; OCI'!F13</f>
        <v>42.037999999999997</v>
      </c>
      <c r="G278" s="459">
        <v>223.1</v>
      </c>
      <c r="H278" s="458">
        <v>37.6</v>
      </c>
      <c r="I278" s="458">
        <f>F278-G278+H278</f>
        <v>-143.46200000000002</v>
      </c>
      <c r="J278" s="458">
        <f>-'IS &amp; OCI'!J13</f>
        <v>157.03800000000001</v>
      </c>
      <c r="K278" s="458">
        <v>223.1</v>
      </c>
      <c r="L278" s="458">
        <v>141</v>
      </c>
      <c r="N278" s="509"/>
      <c r="O278" s="510"/>
      <c r="P278" s="511"/>
    </row>
    <row r="279" spans="1:18" s="508" customFormat="1" ht="11.25" customHeight="1">
      <c r="B279" s="162" t="s">
        <v>237</v>
      </c>
      <c r="C279" s="457"/>
      <c r="D279" s="459"/>
      <c r="E279" s="457">
        <v>73.8</v>
      </c>
      <c r="F279" s="457">
        <f>-'IS &amp; OCI'!F14</f>
        <v>7.806</v>
      </c>
      <c r="G279" s="457">
        <v>56.9</v>
      </c>
      <c r="H279" s="458">
        <v>172.4</v>
      </c>
      <c r="I279" s="458">
        <f t="shared" si="0"/>
        <v>123.30600000000001</v>
      </c>
      <c r="J279" s="458">
        <f>-'IS &amp; OCI'!J14</f>
        <v>12.006</v>
      </c>
      <c r="K279" s="458">
        <v>56.9</v>
      </c>
      <c r="L279" s="458">
        <v>294.7</v>
      </c>
      <c r="N279" s="509"/>
      <c r="O279" s="510"/>
      <c r="P279" s="511"/>
    </row>
    <row r="280" spans="1:18" ht="12" customHeight="1">
      <c r="A280" s="455"/>
      <c r="B280" s="456" t="s">
        <v>218</v>
      </c>
      <c r="C280" s="456"/>
      <c r="D280" s="456"/>
      <c r="E280" s="454">
        <f>SUM(E275:E279)</f>
        <v>615.19999999999993</v>
      </c>
      <c r="F280" s="460">
        <f>SUM(F275:F279)</f>
        <v>53.105999999999952</v>
      </c>
      <c r="G280" s="461">
        <f>SUM(G275:G279)</f>
        <v>219.5</v>
      </c>
      <c r="H280" s="460">
        <f>SUM(H275:H279)</f>
        <v>116.50000000000006</v>
      </c>
      <c r="I280" s="462" t="s">
        <v>0</v>
      </c>
      <c r="J280" s="463">
        <f>SUM(J275:J279)</f>
        <v>313.30600000000004</v>
      </c>
      <c r="K280" s="462" t="s">
        <v>0</v>
      </c>
      <c r="L280" s="460">
        <f>SUM(L275:L279)</f>
        <v>484.40000000000003</v>
      </c>
    </row>
    <row r="281" spans="1:18" ht="13.5" thickBot="1">
      <c r="A281" s="525"/>
      <c r="B281" s="525"/>
      <c r="C281" s="525"/>
      <c r="D281" s="525"/>
      <c r="E281" s="525"/>
      <c r="F281" s="525"/>
      <c r="I281" s="525"/>
      <c r="K281" s="40"/>
    </row>
    <row r="282" spans="1:18" s="76" customFormat="1" ht="11.45" customHeight="1">
      <c r="A282" s="210"/>
      <c r="B282" s="210"/>
      <c r="C282" s="210"/>
      <c r="D282" s="210"/>
      <c r="E282" s="210"/>
      <c r="F282" s="539" t="s">
        <v>5</v>
      </c>
      <c r="G282" s="540"/>
      <c r="H282" s="540"/>
      <c r="I282" s="210"/>
      <c r="J282" s="540" t="s">
        <v>20</v>
      </c>
      <c r="K282" s="540"/>
      <c r="L282" s="540"/>
      <c r="M282" s="519"/>
      <c r="N282" s="521"/>
      <c r="O282" s="413"/>
      <c r="P282" s="210"/>
    </row>
    <row r="283" spans="1:18" s="76" customFormat="1" ht="11.45" customHeight="1">
      <c r="A283" s="210"/>
      <c r="B283" s="210"/>
      <c r="C283" s="210"/>
      <c r="D283" s="210"/>
      <c r="E283" s="210"/>
      <c r="F283" s="541" t="s">
        <v>1</v>
      </c>
      <c r="G283" s="541"/>
      <c r="H283" s="541"/>
      <c r="I283" s="210"/>
      <c r="J283" s="541" t="s">
        <v>1</v>
      </c>
      <c r="K283" s="541"/>
      <c r="L283" s="541"/>
      <c r="M283" s="520"/>
      <c r="N283" s="521"/>
      <c r="O283" s="413"/>
      <c r="P283" s="210"/>
    </row>
    <row r="284" spans="1:18" ht="11.45" customHeight="1">
      <c r="A284" s="226" t="s">
        <v>103</v>
      </c>
      <c r="B284" s="135"/>
      <c r="C284" s="135"/>
      <c r="D284" s="135"/>
      <c r="E284" s="132"/>
      <c r="F284" s="277">
        <v>2016</v>
      </c>
      <c r="G284" s="214"/>
      <c r="H284" s="215">
        <v>2015</v>
      </c>
      <c r="I284" s="132"/>
      <c r="J284" s="386">
        <v>2016</v>
      </c>
      <c r="K284" s="210"/>
      <c r="L284" s="215">
        <v>2015</v>
      </c>
      <c r="M284" s="214"/>
      <c r="N284" s="418"/>
      <c r="O284" s="230"/>
      <c r="P284" s="230"/>
      <c r="Q284" s="446"/>
      <c r="R284" s="49"/>
    </row>
    <row r="285" spans="1:18" s="508" customFormat="1" ht="12" customHeight="1">
      <c r="A285" s="504"/>
      <c r="B285" s="462" t="s">
        <v>219</v>
      </c>
      <c r="C285" s="457"/>
      <c r="D285" s="459"/>
      <c r="E285" s="457">
        <v>16.7</v>
      </c>
      <c r="F285" s="464">
        <f>'IS &amp; OCI'!F17</f>
        <v>-92.426000000000045</v>
      </c>
      <c r="G285" s="464">
        <v>-67.900000000000006</v>
      </c>
      <c r="H285" s="464">
        <f>'IS &amp; OCI'!H17</f>
        <v>-332.89375100000012</v>
      </c>
      <c r="I285" s="465">
        <f t="shared" ref="I285:I286" si="1">F285-G285+H285</f>
        <v>-357.41975100000013</v>
      </c>
      <c r="J285" s="464">
        <f>'IS &amp; OCI'!J17</f>
        <v>-180.26900000000001</v>
      </c>
      <c r="K285" s="465">
        <v>-67.900000000000006</v>
      </c>
      <c r="L285" s="464">
        <f>'IS &amp; OCI'!L17</f>
        <v>-430.4000000000002</v>
      </c>
      <c r="M285" s="505"/>
      <c r="N285" s="506"/>
      <c r="O285" s="507"/>
      <c r="P285" s="507"/>
    </row>
    <row r="286" spans="1:18" s="508" customFormat="1" ht="11.25" customHeight="1">
      <c r="B286" s="162" t="s">
        <v>249</v>
      </c>
      <c r="C286" s="457"/>
      <c r="D286" s="459"/>
      <c r="E286" s="457">
        <v>-0.7</v>
      </c>
      <c r="F286" s="457">
        <f>-'IS &amp; OCI'!F15</f>
        <v>-1.8650000000000002</v>
      </c>
      <c r="G286" s="457">
        <v>7.4</v>
      </c>
      <c r="H286" s="457">
        <f>-'IS &amp; OCI'!H15</f>
        <v>35.1</v>
      </c>
      <c r="I286" s="458">
        <f t="shared" si="1"/>
        <v>25.835000000000001</v>
      </c>
      <c r="J286" s="457">
        <f>-'IS &amp; OCI'!J15</f>
        <v>0.6</v>
      </c>
      <c r="K286" s="458">
        <v>7.4</v>
      </c>
      <c r="L286" s="457">
        <f>-'IS &amp; OCI'!L15</f>
        <v>49</v>
      </c>
      <c r="N286" s="509"/>
      <c r="O286" s="510"/>
      <c r="P286" s="511"/>
    </row>
    <row r="287" spans="1:18" s="508" customFormat="1" ht="11.25" customHeight="1">
      <c r="B287" s="162" t="s">
        <v>222</v>
      </c>
      <c r="C287" s="457"/>
      <c r="D287" s="459"/>
      <c r="E287" s="457"/>
      <c r="F287" s="457">
        <f>-F191</f>
        <v>20.957999999999998</v>
      </c>
      <c r="G287" s="457"/>
      <c r="H287" s="457">
        <f>-H191</f>
        <v>102.5</v>
      </c>
      <c r="I287" s="458"/>
      <c r="J287" s="457">
        <f>-J191</f>
        <v>30.135999999999999</v>
      </c>
      <c r="K287" s="458"/>
      <c r="L287" s="457">
        <f>-L191</f>
        <v>102.5</v>
      </c>
      <c r="N287" s="509"/>
      <c r="O287" s="510"/>
      <c r="P287" s="511"/>
    </row>
    <row r="288" spans="1:18" s="508" customFormat="1" ht="11.25" customHeight="1">
      <c r="B288" s="162" t="s">
        <v>237</v>
      </c>
      <c r="C288" s="457"/>
      <c r="D288" s="459"/>
      <c r="E288" s="457">
        <v>73.8</v>
      </c>
      <c r="F288" s="457">
        <f>-'IS &amp; OCI'!F14</f>
        <v>7.806</v>
      </c>
      <c r="G288" s="457">
        <v>56.9</v>
      </c>
      <c r="H288" s="457">
        <f>-'IS &amp; OCI'!H14</f>
        <v>172.39375100000001</v>
      </c>
      <c r="I288" s="458">
        <f t="shared" ref="I288" si="2">F288-G288+H288</f>
        <v>123.29975100000001</v>
      </c>
      <c r="J288" s="457">
        <f>-'IS &amp; OCI'!J14</f>
        <v>12.006</v>
      </c>
      <c r="K288" s="458">
        <v>56.9</v>
      </c>
      <c r="L288" s="457">
        <f>-'IS &amp; OCI'!L14</f>
        <v>294.70000000000005</v>
      </c>
      <c r="N288" s="509"/>
      <c r="O288" s="510"/>
      <c r="P288" s="511"/>
    </row>
    <row r="289" spans="1:12" ht="12" customHeight="1">
      <c r="A289" s="455"/>
      <c r="B289" s="456" t="s">
        <v>250</v>
      </c>
      <c r="C289" s="456"/>
      <c r="D289" s="456"/>
      <c r="E289" s="454">
        <f>SUM(E285:E288)</f>
        <v>89.8</v>
      </c>
      <c r="F289" s="460">
        <f>SUM(F285:F288)</f>
        <v>-65.527000000000044</v>
      </c>
      <c r="G289" s="461">
        <f>SUM(G285:G288)</f>
        <v>-3.6000000000000085</v>
      </c>
      <c r="H289" s="460">
        <f>SUM(H285:H288)</f>
        <v>-22.900000000000091</v>
      </c>
      <c r="I289" s="462" t="s">
        <v>0</v>
      </c>
      <c r="J289" s="463">
        <f>SUM(J285:J288)</f>
        <v>-137.52700000000002</v>
      </c>
      <c r="K289" s="462" t="s">
        <v>0</v>
      </c>
      <c r="L289" s="460">
        <f>SUM(L285:L288)</f>
        <v>15.799999999999841</v>
      </c>
    </row>
  </sheetData>
  <mergeCells count="72">
    <mergeCell ref="J252:L252"/>
    <mergeCell ref="J272:L272"/>
    <mergeCell ref="J273:L273"/>
    <mergeCell ref="F240:H240"/>
    <mergeCell ref="F179:H179"/>
    <mergeCell ref="F180:H180"/>
    <mergeCell ref="J240:L240"/>
    <mergeCell ref="J251:L251"/>
    <mergeCell ref="J149:L149"/>
    <mergeCell ref="J150:L150"/>
    <mergeCell ref="J124:L124"/>
    <mergeCell ref="J125:L125"/>
    <mergeCell ref="J137:L137"/>
    <mergeCell ref="J6:L6"/>
    <mergeCell ref="J7:L7"/>
    <mergeCell ref="J138:L138"/>
    <mergeCell ref="F85:H85"/>
    <mergeCell ref="J85:L85"/>
    <mergeCell ref="F86:H86"/>
    <mergeCell ref="J86:L86"/>
    <mergeCell ref="F6:H6"/>
    <mergeCell ref="F7:H7"/>
    <mergeCell ref="F27:H27"/>
    <mergeCell ref="F28:H28"/>
    <mergeCell ref="F112:H112"/>
    <mergeCell ref="F124:H124"/>
    <mergeCell ref="F97:H97"/>
    <mergeCell ref="F98:H98"/>
    <mergeCell ref="F77:H77"/>
    <mergeCell ref="F39:H39"/>
    <mergeCell ref="F40:H40"/>
    <mergeCell ref="F51:H51"/>
    <mergeCell ref="F52:H52"/>
    <mergeCell ref="F76:H76"/>
    <mergeCell ref="F67:H67"/>
    <mergeCell ref="F68:H68"/>
    <mergeCell ref="F111:H111"/>
    <mergeCell ref="F138:H138"/>
    <mergeCell ref="F149:H149"/>
    <mergeCell ref="F150:H150"/>
    <mergeCell ref="F125:H125"/>
    <mergeCell ref="F137:H137"/>
    <mergeCell ref="J52:L52"/>
    <mergeCell ref="J76:L76"/>
    <mergeCell ref="J77:L77"/>
    <mergeCell ref="J111:L111"/>
    <mergeCell ref="J112:L112"/>
    <mergeCell ref="J97:L97"/>
    <mergeCell ref="J98:L98"/>
    <mergeCell ref="J67:L67"/>
    <mergeCell ref="J68:L68"/>
    <mergeCell ref="J27:L27"/>
    <mergeCell ref="J28:L28"/>
    <mergeCell ref="J39:L39"/>
    <mergeCell ref="J40:L40"/>
    <mergeCell ref="J51:L51"/>
    <mergeCell ref="F282:H282"/>
    <mergeCell ref="J282:L282"/>
    <mergeCell ref="F283:H283"/>
    <mergeCell ref="J283:L283"/>
    <mergeCell ref="F165:H165"/>
    <mergeCell ref="F224:H224"/>
    <mergeCell ref="F197:H197"/>
    <mergeCell ref="F213:H213"/>
    <mergeCell ref="J179:L179"/>
    <mergeCell ref="J180:L180"/>
    <mergeCell ref="J239:L239"/>
    <mergeCell ref="F272:H272"/>
    <mergeCell ref="F273:H273"/>
    <mergeCell ref="F251:H251"/>
    <mergeCell ref="F252:H252"/>
    <mergeCell ref="F239:H239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7" fitToHeight="3" orientation="portrait" r:id="rId1"/>
  <headerFooter alignWithMargins="0"/>
  <rowBreaks count="2" manualBreakCount="2">
    <brk id="95" max="12" man="1"/>
    <brk id="193" max="12" man="1"/>
  </rowBreaks>
  <ignoredErrors>
    <ignoredError sqref="F173 H173 H280 L280 F73 F104 J10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sol and Ext Rep" ma:contentTypeID="0x01010055188D6E94B07B4D9A15F0291BA7324E0800517DEB065F01BE48B516C5493430EA9C" ma:contentTypeVersion="6" ma:contentTypeDescription="" ma:contentTypeScope="" ma:versionID="1ccc0c0e17e215192d93d5cb23eca1d3">
  <xsd:schema xmlns:xsd="http://www.w3.org/2001/XMLSchema" xmlns:xs="http://www.w3.org/2001/XMLSchema" xmlns:p="http://schemas.microsoft.com/office/2006/metadata/properties" xmlns:ns2="0c51a168-f9b1-4000-a552-b6e26a8e1726" xmlns:ns3="4103f08a-e8f5-4215-a214-f51e08230946" xmlns:ns4="f4ac41ce-b2d5-4726-9417-946f8435fa6d" targetNamespace="http://schemas.microsoft.com/office/2006/metadata/properties" ma:root="true" ma:fieldsID="7950d08e91635392d27293d18f88d868" ns2:_="" ns3:_="" ns4:_="">
    <xsd:import namespace="0c51a168-f9b1-4000-a552-b6e26a8e1726"/>
    <xsd:import namespace="4103f08a-e8f5-4215-a214-f51e08230946"/>
    <xsd:import namespace="f4ac41ce-b2d5-4726-9417-946f8435fa6d"/>
    <xsd:element name="properties">
      <xsd:complexType>
        <xsd:sequence>
          <xsd:element name="documentManagement">
            <xsd:complexType>
              <xsd:all>
                <xsd:element ref="ns3:KeyControl" minOccurs="0"/>
                <xsd:element ref="ns2:TaxCatchAll" minOccurs="0"/>
                <xsd:element ref="ns2:TaxCatchAllLabel" minOccurs="0"/>
                <xsd:element ref="ns2:k6b245d636cd46a7b03f10e9bce6ea8c" minOccurs="0"/>
                <xsd:element ref="ns3:ContentTypeOriginal" minOccurs="0"/>
                <xsd:element ref="ns2:GovArchiveStatus" minOccurs="0"/>
                <xsd:element ref="ns3:YearQuarter" minOccurs="0"/>
                <xsd:element ref="ns4:Consol_x0020_Ext_x0020_rep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1a168-f9b1-4000-a552-b6e26a8e172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717c789-8cb6-44fc-a762-31d4eaaf9c57}" ma:internalName="TaxCatchAll" ma:showField="CatchAllData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717c789-8cb6-44fc-a762-31d4eaaf9c57}" ma:internalName="TaxCatchAllLabel" ma:readOnly="true" ma:showField="CatchAllDataLabel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245d636cd46a7b03f10e9bce6ea8c" ma:index="11" nillable="true" ma:taxonomy="true" ma:internalName="k6b245d636cd46a7b03f10e9bce6ea8c" ma:taxonomyFieldName="GovLECodeName" ma:displayName="LE Code Name" ma:default="" ma:fieldId="{46b245d6-36cd-46a7-b03f-10e9bce6ea8c}" ma:sspId="69ca02a8-2a75-4699-91fa-c3d3c2947d00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vArchiveStatus" ma:index="14" nillable="true" ma:displayName="Gov Archive Status" ma:internalName="GovArchive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f08a-e8f5-4215-a214-f51e08230946" elementFormDefault="qualified">
    <xsd:import namespace="http://schemas.microsoft.com/office/2006/documentManagement/types"/>
    <xsd:import namespace="http://schemas.microsoft.com/office/infopath/2007/PartnerControls"/>
    <xsd:element name="KeyControl" ma:index="3" nillable="true" ma:displayName="Key Control" ma:default="(none)" ma:format="Dropdown" ma:internalName="KeyControl">
      <xsd:simpleType>
        <xsd:restriction base="dms:Choice">
          <xsd:enumeration value="(none)"/>
          <xsd:enumeration value="C S-13a"/>
          <xsd:enumeration value="C S-19"/>
          <xsd:enumeration value="C S-06"/>
          <xsd:enumeration value="C S-12a"/>
          <xsd:enumeration value="C S-15"/>
          <xsd:enumeration value="C S-17"/>
          <xsd:enumeration value="C S-22"/>
          <xsd:enumeration value="C S-23a"/>
          <xsd:enumeration value="C TR-03"/>
          <xsd:enumeration value="C TR-04"/>
          <xsd:enumeration value="C TR-02b"/>
          <xsd:enumeration value="C TR-06"/>
          <xsd:enumeration value="C TR-01a"/>
          <xsd:enumeration value="C ER-05"/>
          <xsd:enumeration value="C ER-03"/>
          <xsd:enumeration value="C ER-04"/>
          <xsd:enumeration value="C ER-02"/>
          <xsd:enumeration value="C SR-03"/>
          <xsd:enumeration value="C SR-05"/>
          <xsd:enumeration value="C SR-02"/>
          <xsd:enumeration value="C SR-01"/>
          <xsd:enumeration value="C CON-07"/>
          <xsd:enumeration value="C CON-01a"/>
          <xsd:enumeration value="C CON-03"/>
          <xsd:enumeration value="C TA-01"/>
          <xsd:enumeration value="C TA-08"/>
          <xsd:enumeration value="C TA-03"/>
          <xsd:enumeration value="C TA-05"/>
          <xsd:enumeration value="C TA-07"/>
          <xsd:enumeration value="C IC-01"/>
          <xsd:enumeration value="C IC-02"/>
          <xsd:enumeration value="C IC-09"/>
          <xsd:enumeration value="C P-03"/>
          <xsd:enumeration value="C P-10a"/>
          <xsd:enumeration value="C P-12a"/>
          <xsd:enumeration value="C P-12b"/>
          <xsd:enumeration value="C P-14"/>
          <xsd:enumeration value="C P-15"/>
          <xsd:enumeration value="C P-21"/>
          <xsd:enumeration value="C P-25a"/>
          <xsd:enumeration value="C P-25b"/>
          <xsd:enumeration value="C P-26"/>
          <xsd:enumeration value="C P-27"/>
          <xsd:enumeration value="C P-28"/>
          <xsd:enumeration value="C TX-02"/>
          <xsd:enumeration value="C FA-09b"/>
          <xsd:enumeration value="C FA-09a"/>
          <xsd:enumeration value="C FA-11a"/>
          <xsd:enumeration value="C MC-01"/>
          <xsd:enumeration value="C MC-02"/>
          <xsd:enumeration value="C MC-05a"/>
          <xsd:enumeration value="C MC-07"/>
          <xsd:enumeration value="C MC-08a"/>
          <xsd:enumeration value="C EA-01"/>
          <xsd:enumeration value="C EA-02"/>
          <xsd:enumeration value="C EA-03"/>
          <xsd:enumeration value="C IA-11b"/>
          <xsd:enumeration value="C PS-02"/>
          <xsd:enumeration value="C IT-01"/>
          <xsd:enumeration value="C PR-07"/>
          <xsd:enumeration value="C PR-09"/>
          <xsd:enumeration value="C PR-10"/>
          <xsd:enumeration value="C PR-16"/>
          <xsd:enumeration value="C CON-01b"/>
          <xsd:enumeration value="C S-13e"/>
          <xsd:enumeration value="C S-23c"/>
          <xsd:enumeration value="C ER-01b"/>
          <xsd:enumeration value="C IC-04c"/>
          <xsd:enumeration value="C TX-03"/>
          <xsd:enumeration value="C FA-06"/>
          <xsd:enumeration value="C IA-11a"/>
          <xsd:enumeration value="C IT-02b"/>
          <xsd:enumeration value="C IT-02c"/>
          <xsd:enumeration value="C P-11"/>
          <xsd:enumeration value="AP VAT-1"/>
          <xsd:enumeration value="AP VAT-2"/>
          <xsd:enumeration value="AP VAT-4"/>
          <xsd:enumeration value="AP VAT-5"/>
          <xsd:enumeration value="AP VAT-6"/>
          <xsd:enumeration value="AP VAT-7"/>
          <xsd:enumeration value="AP-01"/>
          <xsd:enumeration value="AP-02"/>
          <xsd:enumeration value="AP-03"/>
          <xsd:enumeration value="AP-04"/>
          <xsd:enumeration value="AP-05"/>
          <xsd:enumeration value="AP-06"/>
          <xsd:enumeration value="AP-GLR PRSpore-01"/>
          <xsd:enumeration value="AP-GLR-01"/>
          <xsd:enumeration value="AP-GLR-02"/>
          <xsd:enumeration value="AP-GLR-03"/>
          <xsd:enumeration value="AP-GLR-05"/>
          <xsd:enumeration value="AP-GLR-08"/>
          <xsd:enumeration value="AP-GLR-09"/>
          <xsd:enumeration value="AP-GLR-10"/>
          <xsd:enumeration value="AP-GLR-11"/>
          <xsd:enumeration value="AP-GLR-12"/>
          <xsd:enumeration value="AP-GLR-15"/>
          <xsd:enumeration value="AP-GLR-16"/>
          <xsd:enumeration value="AP-GLR-17"/>
          <xsd:enumeration value="AP-GLR-18"/>
          <xsd:enumeration value="AP-GLR-19"/>
          <xsd:enumeration value="AP-GLR-20"/>
          <xsd:enumeration value="AP-GLR-21"/>
          <xsd:enumeration value="AP-GLR-22"/>
          <xsd:enumeration value="AP-GLR-23"/>
          <xsd:enumeration value="AP-GLR-25"/>
          <xsd:enumeration value="AP-GLR-26"/>
          <xsd:enumeration value="AP-GLR-30"/>
          <xsd:enumeration value="AP-GLR-31"/>
          <xsd:enumeration value="AP-GLR-32"/>
          <xsd:enumeration value="AP-GLR-33"/>
          <xsd:enumeration value="AP-GLR-36"/>
          <xsd:enumeration value="AP-GLR-37"/>
          <xsd:enumeration value="Cash-01"/>
          <xsd:enumeration value="Cash-03"/>
          <xsd:enumeration value="Cash-04"/>
          <xsd:enumeration value="Cash-05"/>
          <xsd:enumeration value="Cash-06"/>
          <xsd:enumeration value="Cash-07"/>
          <xsd:enumeration value="Cash-08"/>
          <xsd:enumeration value="Cash-09"/>
          <xsd:enumeration value="Cash-10"/>
          <xsd:enumeration value="Cost-01"/>
          <xsd:enumeration value="Cost-06"/>
          <xsd:enumeration value="Cost-07"/>
          <xsd:enumeration value="Cost-08"/>
          <xsd:enumeration value="Cost-09"/>
          <xsd:enumeration value="Cost-10"/>
          <xsd:enumeration value="Cost-11"/>
          <xsd:enumeration value="Cost-12"/>
          <xsd:enumeration value="Cost-13"/>
          <xsd:enumeration value="Cost-15"/>
          <xsd:enumeration value="Cost-16"/>
          <xsd:enumeration value="Cost-17"/>
          <xsd:enumeration value="Cost-19"/>
          <xsd:enumeration value="Cost-21"/>
          <xsd:enumeration value="Cost-22"/>
          <xsd:enumeration value="Cost-23"/>
          <xsd:enumeration value="Cost-24"/>
          <xsd:enumeration value="Cost-25"/>
          <xsd:enumeration value="Cost-26"/>
          <xsd:enumeration value="Cost-27"/>
          <xsd:enumeration value="Cost-28"/>
          <xsd:enumeration value="Cost-29"/>
          <xsd:enumeration value="Cost-30"/>
          <xsd:enumeration value="DEV-01"/>
          <xsd:enumeration value="DEV-02"/>
          <xsd:enumeration value="DTPRGR 16"/>
          <xsd:enumeration value="DTPRGR 21"/>
          <xsd:enumeration value="DTPRGR 26"/>
          <xsd:enumeration value="DTPRGR 28"/>
          <xsd:enumeration value="DTPRGR 31"/>
          <xsd:enumeration value="DTPRGR 35"/>
          <xsd:enumeration value="DTPRGR 37"/>
          <xsd:enumeration value="DTPRGR 40"/>
          <xsd:enumeration value="DTPRGR 49"/>
          <xsd:enumeration value="DTPRGR 50"/>
          <xsd:enumeration value="DTPRGR 51"/>
          <xsd:enumeration value="DTPRGR 55"/>
          <xsd:enumeration value="DTPRGR 61"/>
          <xsd:enumeration value="DTPRGR 62"/>
          <xsd:enumeration value="DTPRGR 67"/>
          <xsd:enumeration value="DTPRGR 75"/>
          <xsd:enumeration value="DTPRGR 76"/>
          <xsd:enumeration value="DTPRGR 77"/>
          <xsd:enumeration value="DTPRGR 78"/>
          <xsd:enumeration value="DTPRGR 79"/>
          <xsd:enumeration value="DTPRGR 80"/>
          <xsd:enumeration value="DTPRGR 81"/>
          <xsd:enumeration value="DTPRGR 82"/>
          <xsd:enumeration value="EAME-GLR-01"/>
          <xsd:enumeration value="EAME-GLR-02"/>
          <xsd:enumeration value="EAME-GLR-03"/>
          <xsd:enumeration value="EAME-GLR-05"/>
          <xsd:enumeration value="EAME-GLR-08"/>
          <xsd:enumeration value="EAME-GLR-09"/>
          <xsd:enumeration value="EAME-GLR-10"/>
          <xsd:enumeration value="EAME-GLR-11"/>
          <xsd:enumeration value="EAME-GLR-12"/>
          <xsd:enumeration value="EAME-GLR-15"/>
          <xsd:enumeration value="EAME-GLR-16"/>
          <xsd:enumeration value="EAME-GLR-17"/>
          <xsd:enumeration value="EAME-GLR-18"/>
          <xsd:enumeration value="EAME-GLR-20"/>
          <xsd:enumeration value="EAME-GLR-21"/>
          <xsd:enumeration value="EAME-GLR-22"/>
          <xsd:enumeration value="EAME-GLR-23"/>
          <xsd:enumeration value="EAME-GLR-25"/>
          <xsd:enumeration value="EAME-GLR-26"/>
          <xsd:enumeration value="EAME-GLR-30"/>
          <xsd:enumeration value="EAME-GLR-31"/>
          <xsd:enumeration value="EAME-GLR-32"/>
          <xsd:enumeration value="EAME-GLR-36"/>
          <xsd:enumeration value="EAME-GLR-37"/>
          <xsd:enumeration value="EAME-UKVAT-01"/>
          <xsd:enumeration value="EAME-UKVAT-02"/>
          <xsd:enumeration value="EAME-UKVAT-03"/>
          <xsd:enumeration value="EAME-UKVAT-04"/>
          <xsd:enumeration value="EAME-UKVAT-05"/>
          <xsd:enumeration value="EAME-UKVAT-06"/>
          <xsd:enumeration value="ER-01"/>
          <xsd:enumeration value="ER-02"/>
          <xsd:enumeration value="ER-03"/>
          <xsd:enumeration value="ER-04"/>
          <xsd:enumeration value="ER-05"/>
          <xsd:enumeration value="FA-02"/>
          <xsd:enumeration value="FA-03"/>
          <xsd:enumeration value="FA-04"/>
          <xsd:enumeration value="FA-05"/>
          <xsd:enumeration value="FA-06"/>
          <xsd:enumeration value="FA-07"/>
          <xsd:enumeration value="FA-08"/>
          <xsd:enumeration value="FA-09"/>
          <xsd:enumeration value="FA-10"/>
          <xsd:enumeration value="FA-11"/>
          <xsd:enumeration value="FA-12"/>
          <xsd:enumeration value="FA-13"/>
          <xsd:enumeration value="FA-14"/>
          <xsd:enumeration value="FA-15"/>
          <xsd:enumeration value="FA-16"/>
          <xsd:enumeration value="FA-17"/>
          <xsd:enumeration value="FA-18"/>
          <xsd:enumeration value="GA-01"/>
          <xsd:enumeration value="GA-02"/>
          <xsd:enumeration value="GA-03"/>
          <xsd:enumeration value="GA-04"/>
          <xsd:enumeration value="GA-05"/>
          <xsd:enumeration value="GA-06"/>
          <xsd:enumeration value="GA-10"/>
          <xsd:enumeration value="GA-11"/>
          <xsd:enumeration value="GA-12"/>
          <xsd:enumeration value="GA-20"/>
          <xsd:enumeration value="GA-21"/>
          <xsd:enumeration value="GA-22"/>
          <xsd:enumeration value="GA-30"/>
          <xsd:enumeration value="GA-31"/>
          <xsd:enumeration value="GA-40"/>
          <xsd:enumeration value="GA-41"/>
          <xsd:enumeration value="GA-42"/>
          <xsd:enumeration value="GA-43"/>
          <xsd:enumeration value="GC-02"/>
          <xsd:enumeration value="GC-03"/>
          <xsd:enumeration value="GC-04"/>
          <xsd:enumeration value="GC-05"/>
          <xsd:enumeration value="GC-06"/>
          <xsd:enumeration value="GC-08"/>
          <xsd:enumeration value="GC-10"/>
          <xsd:enumeration value="GC-14"/>
          <xsd:enumeration value="GC-15"/>
          <xsd:enumeration value="GC-17"/>
          <xsd:enumeration value="GLR-07"/>
          <xsd:enumeration value="GLR-16"/>
          <xsd:enumeration value="GLR-34"/>
          <xsd:enumeration value="Hou-GLR-01"/>
          <xsd:enumeration value="Hou-GLR-02"/>
          <xsd:enumeration value="Hou-GLR-03"/>
          <xsd:enumeration value="Hou-GLR-05"/>
          <xsd:enumeration value="Hou-GLR-07"/>
          <xsd:enumeration value="Hou-GLR-08"/>
          <xsd:enumeration value="Hou-GLR-09"/>
          <xsd:enumeration value="Hou-GLR-10"/>
          <xsd:enumeration value="Hou-GLR-11"/>
          <xsd:enumeration value="Hou-GLR-12"/>
          <xsd:enumeration value="Hou-GLR-14"/>
          <xsd:enumeration value="Hou-GLR-15"/>
          <xsd:enumeration value="Hou-GLR-16"/>
          <xsd:enumeration value="Hou-GLR-17"/>
          <xsd:enumeration value="Hou-GLR-18"/>
          <xsd:enumeration value="Hou-GLR-20"/>
          <xsd:enumeration value="Hou-GLR-21"/>
          <xsd:enumeration value="Hou-GLR-22"/>
          <xsd:enumeration value="Hou-GLR-23"/>
          <xsd:enumeration value="Hou-GLR-25"/>
          <xsd:enumeration value="Hou-GLR-26"/>
          <xsd:enumeration value="Hou-GLR-30"/>
          <xsd:enumeration value="Hou-GLR-31"/>
          <xsd:enumeration value="Hou-GLR-32"/>
          <xsd:enumeration value="Hou-GLR-33"/>
          <xsd:enumeration value="Hou-GLR-36"/>
          <xsd:enumeration value="Hou-GLR-37"/>
          <xsd:enumeration value="IA-01"/>
          <xsd:enumeration value="IA-02"/>
          <xsd:enumeration value="IA-03"/>
          <xsd:enumeration value="IA-04"/>
          <xsd:enumeration value="IA-05"/>
          <xsd:enumeration value="IA-06"/>
          <xsd:enumeration value="IA-07"/>
          <xsd:enumeration value="IA-08"/>
          <xsd:enumeration value="IA-09"/>
          <xsd:enumeration value="IA-10"/>
          <xsd:enumeration value="IA-10"/>
          <xsd:enumeration value="IA-13"/>
          <xsd:enumeration value="IA-15"/>
          <xsd:enumeration value="IA-16"/>
          <xsd:enumeration value="IA-17"/>
          <xsd:enumeration value="IA-19"/>
          <xsd:enumeration value="INV-01"/>
          <xsd:enumeration value="INV-02"/>
          <xsd:enumeration value="INV-03"/>
          <xsd:enumeration value="INV-04"/>
          <xsd:enumeration value="INV-05"/>
          <xsd:enumeration value="INV-06"/>
          <xsd:enumeration value="INV-07"/>
          <xsd:enumeration value="INV-08"/>
          <xsd:enumeration value="MC-01"/>
          <xsd:enumeration value="MC-03"/>
          <xsd:enumeration value="MC-04"/>
          <xsd:enumeration value="MC-05"/>
          <xsd:enumeration value="MC-06"/>
          <xsd:enumeration value="MC-08"/>
          <xsd:enumeration value="MC-09"/>
          <xsd:enumeration value="MC-10"/>
          <xsd:enumeration value="MC-11"/>
          <xsd:enumeration value="MC-12"/>
          <xsd:enumeration value="MC-13"/>
          <xsd:enumeration value="MC-14"/>
          <xsd:enumeration value="MC-15"/>
          <xsd:enumeration value="MC-16"/>
          <xsd:enumeration value="MC-17"/>
          <xsd:enumeration value="MC-18"/>
          <xsd:enumeration value="MC-19"/>
          <xsd:enumeration value="MC-22"/>
          <xsd:enumeration value="MC-23"/>
          <xsd:enumeration value="MC-25"/>
          <xsd:enumeration value="MC-26"/>
          <xsd:enumeration value="MC-27"/>
          <xsd:enumeration value="MC-29"/>
          <xsd:enumeration value="MC-31"/>
          <xsd:enumeration value="PA-01"/>
          <xsd:enumeration value="PA-02"/>
          <xsd:enumeration value="PA-03"/>
          <xsd:enumeration value="Rev-01"/>
          <xsd:enumeration value="Rev-02"/>
          <xsd:enumeration value="Rev-03"/>
          <xsd:enumeration value="Rev-04"/>
          <xsd:enumeration value="Rev-05"/>
          <xsd:enumeration value="Rev-06"/>
          <xsd:enumeration value="Rev-07"/>
          <xsd:enumeration value="Rev-08"/>
          <xsd:enumeration value="Rev-09"/>
          <xsd:enumeration value="Rev-10"/>
          <xsd:enumeration value="Rev-11"/>
          <xsd:enumeration value="Rev-12"/>
          <xsd:enumeration value="Rev-13"/>
          <xsd:enumeration value="Rev-14"/>
          <xsd:enumeration value="Rev-15"/>
          <xsd:enumeration value="Rev-16"/>
          <xsd:enumeration value="Rev-17"/>
          <xsd:enumeration value="Rev-18"/>
          <xsd:enumeration value="Rev-19"/>
          <xsd:enumeration value="Rev-20"/>
          <xsd:enumeration value="Rev-21"/>
          <xsd:enumeration value="Rev-22"/>
          <xsd:enumeration value="Rev-24"/>
          <xsd:enumeration value="Rev-25"/>
          <xsd:enumeration value="ST-01"/>
          <xsd:enumeration value="ST-02"/>
          <xsd:enumeration value="ST-03"/>
          <xsd:enumeration value="Tax Acc-01"/>
          <xsd:enumeration value="Tax Acc-02"/>
          <xsd:enumeration value="Tax Acc-03"/>
          <xsd:enumeration value="Tax Acc-04"/>
          <xsd:enumeration value="Tax Acc-05"/>
          <xsd:enumeration value="Tech-01"/>
          <xsd:enumeration value="Tech-02"/>
          <xsd:enumeration value="Tech-03"/>
          <xsd:enumeration value="Tech-04"/>
          <xsd:enumeration value="Tech-16"/>
          <xsd:enumeration value="Tech-18"/>
        </xsd:restriction>
      </xsd:simpleType>
    </xsd:element>
    <xsd:element name="ContentTypeOriginal" ma:index="13" nillable="true" ma:displayName="ContentTypeOriginal" ma:format="Dropdown" ma:internalName="ContentTypeOriginal">
      <xsd:simpleType>
        <xsd:restriction base="dms:Choice">
          <xsd:enumeration value="Accounting Issue List"/>
          <xsd:enumeration value="Accounting Issue Memo"/>
          <xsd:enumeration value="Audit Committee"/>
          <xsd:enumeration value="Earnings Release"/>
          <xsd:enumeration value="ER Supporting Documents"/>
          <xsd:enumeration value="Group Calculation and Reconciliation"/>
          <xsd:enumeration value="Q-Pack 2 A Equity"/>
          <xsd:enumeration value="Q-Pack 2 B Cash Flow Information"/>
          <xsd:enumeration value="Q-Pack 4 Minimum Operational Lease Commmitments"/>
          <xsd:enumeration value="Q-Pack 5 A Subsequent Review BC  Checked"/>
          <xsd:enumeration value="Q-Pack Report Overview"/>
          <xsd:enumeration value="Reval"/>
          <xsd:enumeration value="Segment Reports"/>
          <xsd:enumeration value="Group EPS"/>
        </xsd:restriction>
      </xsd:simpleType>
    </xsd:element>
    <xsd:element name="YearQuarter" ma:index="15" nillable="true" ma:displayName="Year Quarter" ma:format="Dropdown" ma:internalName="YearQuarter">
      <xsd:simpleType>
        <xsd:restriction base="dms:Choice">
          <xsd:enumeration value="2015 Q4"/>
          <xsd:enumeration value="2016 Q1"/>
          <xsd:enumeration value="2016 Q2"/>
          <xsd:enumeration value="2016 Q3"/>
          <xsd:enumeration value="2016 Q4"/>
          <xsd:enumeration value="2017 Q1"/>
          <xsd:enumeration value="2017 Q2"/>
          <xsd:enumeration value="2017 Q3"/>
          <xsd:enumeration value="2017 Q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c41ce-b2d5-4726-9417-946f8435fa6d" elementFormDefault="qualified">
    <xsd:import namespace="http://schemas.microsoft.com/office/2006/documentManagement/types"/>
    <xsd:import namespace="http://schemas.microsoft.com/office/infopath/2007/PartnerControls"/>
    <xsd:element name="Consol_x0020_Ext_x0020_rep_x0020_status" ma:index="16" nillable="true" ma:displayName="Consol Ext rep status" ma:format="Dropdown" ma:internalName="Consol_x0020_Ext_x0020_rep_x0020_status">
      <xsd:simpleType>
        <xsd:restriction base="dms:Choice">
          <xsd:enumeration value="In progress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0c51a168-f9b1-4000-a552-b6e26a8e1726">
      <Value>13</Value>
    </TaxCatchAll>
    <KeyControl xmlns="4103f08a-e8f5-4215-a214-f51e08230946">(none)</KeyControl>
    <ContentTypeOriginal xmlns="4103f08a-e8f5-4215-a214-f51e08230946">Earnings Release</ContentTypeOriginal>
    <GovArchiveStatus xmlns="0c51a168-f9b1-4000-a552-b6e26a8e1726" xsi:nil="true"/>
    <k6b245d636cd46a7b03f10e9bce6ea8c xmlns="0c51a168-f9b1-4000-a552-b6e26a8e1726">
      <Terms xmlns="http://schemas.microsoft.com/office/infopath/2007/PartnerControls">
        <TermInfo xmlns="http://schemas.microsoft.com/office/infopath/2007/PartnerControls">
          <TermName>Financial Information</TermName>
          <TermId>d2246aff-850a-4851-9da0-77e915fead5e</TermId>
        </TermInfo>
      </Terms>
    </k6b245d636cd46a7b03f10e9bce6ea8c>
    <YearQuarter xmlns="4103f08a-e8f5-4215-a214-f51e08230946">2016 Q4</YearQuarter>
    <Consol_x0020_Ext_x0020_rep_x0020_status xmlns="f4ac41ce-b2d5-4726-9417-946f8435fa6d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A3CEEB-715C-45C9-9319-C9FA18A40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1a168-f9b1-4000-a552-b6e26a8e1726"/>
    <ds:schemaRef ds:uri="4103f08a-e8f5-4215-a214-f51e08230946"/>
    <ds:schemaRef ds:uri="f4ac41ce-b2d5-4726-9417-946f8435f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5D089-5F7E-4BD1-810E-21FFCF820613}">
  <ds:schemaRefs>
    <ds:schemaRef ds:uri="http://schemas.microsoft.com/office/2006/documentManagement/types"/>
    <ds:schemaRef ds:uri="http://www.w3.org/XML/1998/namespace"/>
    <ds:schemaRef ds:uri="0c51a168-f9b1-4000-a552-b6e26a8e1726"/>
    <ds:schemaRef ds:uri="http://purl.org/dc/terms/"/>
    <ds:schemaRef ds:uri="4103f08a-e8f5-4215-a214-f51e08230946"/>
    <ds:schemaRef ds:uri="f4ac41ce-b2d5-4726-9417-946f8435fa6d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Q4 2016 Earnings release financials tables</dc:title>
  <dc:creator>Vidar Gulliksen</dc:creator>
  <cp:lastModifiedBy>Bard Stenberg</cp:lastModifiedBy>
  <cp:lastPrinted>2017-02-08T11:33:27Z</cp:lastPrinted>
  <dcterms:created xsi:type="dcterms:W3CDTF">1997-04-22T19:06:36Z</dcterms:created>
  <dcterms:modified xsi:type="dcterms:W3CDTF">2017-02-15T15:42:44Z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0x01010055188D6E94B07B4D9A15F0291BA7324E0800517DEB065F01BE48B516C5493430EA9C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Vidar.Hasund@pgs.com</vt:lpwstr>
  </property>
  <property fmtid="{D5CDD505-2E9C-101B-9397-08002B2CF9AE}" pid="20" name="_dlc_policyId">
    <vt:lpwstr>0x0101001BA8192A63AC2947BE19EEE885D49368|-2145755995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09/19/2015 23:34:26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BUNew">
    <vt:lpwstr>557;#</vt:lpwstr>
  </property>
  <property fmtid="{D5CDD505-2E9C-101B-9397-08002B2CF9AE}" pid="28" name="GovLECodeName">
    <vt:lpwstr>13;#Financial Information|d2246aff-850a-4851-9da0-77e915fead5e</vt:lpwstr>
  </property>
  <property fmtid="{D5CDD505-2E9C-101B-9397-08002B2CF9AE}" pid="29" name="_dlc_ItemStageId">
    <vt:lpwstr>1</vt:lpwstr>
  </property>
  <property fmtid="{D5CDD505-2E9C-101B-9397-08002B2CF9AE}" pid="30" name="SV_QUERY_LIST_4F35BF76-6C0D-4D9B-82B2-816C12CF3733">
    <vt:lpwstr>empty_477D106A-C0D6-4607-AEBD-E2C9D60EA279</vt:lpwstr>
  </property>
  <property fmtid="{D5CDD505-2E9C-101B-9397-08002B2CF9AE}" pid="31" name="k3e548813fe040acb5b9e37f5bdc1d80">
    <vt:lpwstr>Financial Information|d2246aff-850a-4851-9da0-77e915fead5e</vt:lpwstr>
  </property>
  <property fmtid="{D5CDD505-2E9C-101B-9397-08002B2CF9AE}" pid="32" name="Order">
    <vt:r8>250300</vt:r8>
  </property>
  <property fmtid="{D5CDD505-2E9C-101B-9397-08002B2CF9AE}" pid="33" name="xd_ProgID">
    <vt:lpwstr/>
  </property>
  <property fmtid="{D5CDD505-2E9C-101B-9397-08002B2CF9AE}" pid="34" name="TemplateUrl">
    <vt:lpwstr/>
  </property>
</Properties>
</file>